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date1904="1" showInkAnnotation="0"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aymauseth/Alviss Consulting Dropbox/ECA SME TT October 2022/Workbooks Oct 2022 - Locked/WB Tas/"/>
    </mc:Choice>
  </mc:AlternateContent>
  <xr:revisionPtr revIDLastSave="0" documentId="13_ncr:1_{E6227D0E-C66D-C940-B9B9-6C329021F756}" xr6:coauthVersionLast="47" xr6:coauthVersionMax="47" xr10:uidLastSave="{00000000-0000-0000-0000-000000000000}"/>
  <workbookProtection workbookAlgorithmName="SHA-512" workbookHashValue="88VyJEZC/RD1YgYWasRD8BagIpaQlwxKXEM9lt2B37GkOt6s35Bw1JvSpi4B7l9ZWCi2HTx3uzZK9/LnUMDb1A==" workbookSaltValue="Zs5RFeXifHKXETptXBWemg==" workbookSpinCount="100000" lockStructure="1"/>
  <bookViews>
    <workbookView xWindow="4440" yWindow="3000" windowWidth="38400" windowHeight="19540" tabRatio="500" xr2:uid="{00000000-000D-0000-FFFF-FFFF00000000}"/>
  </bookViews>
  <sheets>
    <sheet name="Notes" sheetId="3" r:id="rId1"/>
    <sheet name="TAS Bills October 2022" sheetId="27" r:id="rId2"/>
    <sheet name="TAS Bills April 2022" sheetId="25" r:id="rId3"/>
    <sheet name="TAS Bills October 2021" sheetId="23" r:id="rId4"/>
    <sheet name="TAS Bills April 2021" sheetId="20" r:id="rId5"/>
    <sheet name="TAS Bills October 2020" sheetId="19" r:id="rId6"/>
    <sheet name="TAS Bills April 2020" sheetId="17" r:id="rId7"/>
    <sheet name="TAS Bills October 2019" sheetId="15" r:id="rId8"/>
    <sheet name="TAS Bills April 2019" sheetId="13" r:id="rId9"/>
    <sheet name="TAS Bills October 2018" sheetId="11" r:id="rId10"/>
    <sheet name="TAS Bills April 2018" sheetId="9" r:id="rId11"/>
    <sheet name="TAS Bills October 2017" sheetId="7" r:id="rId12"/>
    <sheet name="TAS Bills April 2017" sheetId="5" r:id="rId13"/>
    <sheet name="TAS Oct 2022" sheetId="26" state="hidden" r:id="rId14"/>
    <sheet name="TAS Apr 2022" sheetId="24" state="hidden" r:id="rId15"/>
    <sheet name="TAS Oct 2021" sheetId="22" state="hidden" r:id="rId16"/>
    <sheet name="TAS Apr 2021" sheetId="21" state="hidden" r:id="rId17"/>
    <sheet name="TAS Oct 2020" sheetId="18" state="hidden" r:id="rId18"/>
    <sheet name="TAS Apr 2020" sheetId="16" state="hidden" r:id="rId19"/>
    <sheet name="TAS Oct 2019" sheetId="14" state="hidden" r:id="rId20"/>
    <sheet name="TAS Apr 2019" sheetId="12" state="hidden" r:id="rId21"/>
    <sheet name="TAS Bills April 2016" sheetId="2" state="hidden" r:id="rId22"/>
    <sheet name="TAS Oct 2018" sheetId="10" state="hidden" r:id="rId23"/>
    <sheet name="TAS Apr 2018" sheetId="8" state="hidden" r:id="rId24"/>
    <sheet name="TAS Oct 2017" sheetId="6" state="hidden" r:id="rId25"/>
    <sheet name="TAS Apr 2017" sheetId="4" state="hidden" r:id="rId26"/>
    <sheet name="TAS Apr 2016" sheetId="1" state="hidden" r:id="rId27"/>
  </sheets>
  <calcPr calcId="191029" calcMode="autoNoTable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27" l="1"/>
  <c r="G22" i="27"/>
  <c r="F22" i="27"/>
  <c r="I22" i="27" s="1"/>
  <c r="P35" i="27"/>
  <c r="O35" i="27"/>
  <c r="N35" i="27"/>
  <c r="M35" i="27"/>
  <c r="H35" i="27"/>
  <c r="G35" i="27"/>
  <c r="F35" i="27"/>
  <c r="E35" i="27"/>
  <c r="D35" i="27"/>
  <c r="C35" i="27"/>
  <c r="B35" i="27"/>
  <c r="A35" i="27"/>
  <c r="R35" i="27" s="1"/>
  <c r="P34" i="27"/>
  <c r="O34" i="27"/>
  <c r="N34" i="27"/>
  <c r="M34" i="27"/>
  <c r="H34" i="27"/>
  <c r="G34" i="27"/>
  <c r="F34" i="27"/>
  <c r="E34" i="27"/>
  <c r="D34" i="27"/>
  <c r="C34" i="27"/>
  <c r="B34" i="27"/>
  <c r="A34" i="27"/>
  <c r="R34" i="27" s="1"/>
  <c r="P33" i="27"/>
  <c r="O33" i="27"/>
  <c r="N33" i="27"/>
  <c r="M33" i="27"/>
  <c r="H33" i="27"/>
  <c r="G33" i="27"/>
  <c r="F33" i="27"/>
  <c r="E33" i="27"/>
  <c r="D33" i="27"/>
  <c r="C33" i="27"/>
  <c r="B33" i="27"/>
  <c r="A33" i="27"/>
  <c r="R33" i="27" s="1"/>
  <c r="P23" i="27"/>
  <c r="O23" i="27"/>
  <c r="N23" i="27"/>
  <c r="M23" i="27"/>
  <c r="H23" i="27"/>
  <c r="G23" i="27"/>
  <c r="F23" i="27"/>
  <c r="E23" i="27"/>
  <c r="D23" i="27"/>
  <c r="C23" i="27"/>
  <c r="B23" i="27"/>
  <c r="A23" i="27"/>
  <c r="R23" i="27" s="1"/>
  <c r="P22" i="27"/>
  <c r="O22" i="27"/>
  <c r="N22" i="27"/>
  <c r="M22" i="27"/>
  <c r="E22" i="27"/>
  <c r="D22" i="27"/>
  <c r="C22" i="27"/>
  <c r="B22" i="27"/>
  <c r="A22" i="27"/>
  <c r="R22" i="27" s="1"/>
  <c r="P21" i="27"/>
  <c r="O21" i="27"/>
  <c r="N21" i="27"/>
  <c r="M21" i="27"/>
  <c r="H21" i="27"/>
  <c r="G21" i="27"/>
  <c r="F21" i="27"/>
  <c r="E21" i="27"/>
  <c r="D21" i="27"/>
  <c r="C21" i="27"/>
  <c r="B21" i="27"/>
  <c r="A21" i="27"/>
  <c r="R21" i="27" s="1"/>
  <c r="P20" i="27"/>
  <c r="O20" i="27"/>
  <c r="N20" i="27"/>
  <c r="M20" i="27"/>
  <c r="H20" i="27"/>
  <c r="G20" i="27"/>
  <c r="F20" i="27"/>
  <c r="E20" i="27"/>
  <c r="D20" i="27"/>
  <c r="C20" i="27"/>
  <c r="B20" i="27"/>
  <c r="A20" i="27"/>
  <c r="R20" i="27" s="1"/>
  <c r="P11" i="27"/>
  <c r="O11" i="27"/>
  <c r="N11" i="27"/>
  <c r="M11" i="27"/>
  <c r="H11" i="27"/>
  <c r="F11" i="27"/>
  <c r="E11" i="27"/>
  <c r="D11" i="27"/>
  <c r="C11" i="27"/>
  <c r="B11" i="27"/>
  <c r="A11" i="27"/>
  <c r="R11" i="27" s="1"/>
  <c r="P10" i="27"/>
  <c r="O10" i="27"/>
  <c r="N10" i="27"/>
  <c r="M10" i="27"/>
  <c r="H10" i="27"/>
  <c r="F10" i="27"/>
  <c r="E10" i="27"/>
  <c r="D10" i="27"/>
  <c r="C10" i="27"/>
  <c r="B10" i="27"/>
  <c r="A10" i="27"/>
  <c r="R10" i="27" s="1"/>
  <c r="P9" i="27"/>
  <c r="O9" i="27"/>
  <c r="N9" i="27"/>
  <c r="M9" i="27"/>
  <c r="H9" i="27"/>
  <c r="F9" i="27"/>
  <c r="E9" i="27"/>
  <c r="D9" i="27"/>
  <c r="C9" i="27"/>
  <c r="B9" i="27"/>
  <c r="A9" i="27"/>
  <c r="R9" i="27" s="1"/>
  <c r="P8" i="27"/>
  <c r="O8" i="27"/>
  <c r="N8" i="27"/>
  <c r="M8" i="27"/>
  <c r="H8" i="27"/>
  <c r="F8" i="27"/>
  <c r="E8" i="27"/>
  <c r="D8" i="27"/>
  <c r="C8" i="27"/>
  <c r="B8" i="27"/>
  <c r="A8" i="27"/>
  <c r="R8" i="27" s="1"/>
  <c r="A25" i="25"/>
  <c r="B25" i="25"/>
  <c r="C25" i="25"/>
  <c r="I25" i="25" s="1"/>
  <c r="D25" i="25"/>
  <c r="E25" i="25"/>
  <c r="F25" i="25"/>
  <c r="G25" i="25"/>
  <c r="H25" i="25"/>
  <c r="M25" i="25"/>
  <c r="N25" i="25"/>
  <c r="O25" i="25"/>
  <c r="P25" i="25"/>
  <c r="R25" i="25"/>
  <c r="W25" i="25"/>
  <c r="X25" i="25"/>
  <c r="A9" i="25"/>
  <c r="X39" i="25"/>
  <c r="X38" i="25"/>
  <c r="X37" i="25"/>
  <c r="X36" i="25"/>
  <c r="X35" i="25"/>
  <c r="X24" i="25"/>
  <c r="X23" i="25"/>
  <c r="X22" i="25"/>
  <c r="X13" i="25"/>
  <c r="X12" i="25"/>
  <c r="X11" i="25"/>
  <c r="X10" i="25"/>
  <c r="X9" i="25"/>
  <c r="X8" i="25"/>
  <c r="W39" i="25"/>
  <c r="W38" i="25"/>
  <c r="W37" i="25"/>
  <c r="W36" i="25"/>
  <c r="W35" i="25"/>
  <c r="W24" i="25"/>
  <c r="W23" i="25"/>
  <c r="W22" i="25"/>
  <c r="W13" i="25"/>
  <c r="W12" i="25"/>
  <c r="W11" i="25"/>
  <c r="W10" i="25"/>
  <c r="W9" i="25"/>
  <c r="W8" i="25"/>
  <c r="P39" i="25"/>
  <c r="P38" i="25"/>
  <c r="P37" i="25"/>
  <c r="P36" i="25"/>
  <c r="P35" i="25"/>
  <c r="P24" i="25"/>
  <c r="P23" i="25"/>
  <c r="P22" i="25"/>
  <c r="P13" i="25"/>
  <c r="P12" i="25"/>
  <c r="P11" i="25"/>
  <c r="P10" i="25"/>
  <c r="P9" i="25"/>
  <c r="P8" i="25"/>
  <c r="O39" i="25"/>
  <c r="O38" i="25"/>
  <c r="O37" i="25"/>
  <c r="O36" i="25"/>
  <c r="O35" i="25"/>
  <c r="O24" i="25"/>
  <c r="O23" i="25"/>
  <c r="O22" i="25"/>
  <c r="O13" i="25"/>
  <c r="O12" i="25"/>
  <c r="O11" i="25"/>
  <c r="O10" i="25"/>
  <c r="O9" i="25"/>
  <c r="O8" i="25"/>
  <c r="N39" i="25"/>
  <c r="N38" i="25"/>
  <c r="N37" i="25"/>
  <c r="N36" i="25"/>
  <c r="N35" i="25"/>
  <c r="N24" i="25"/>
  <c r="N23" i="25"/>
  <c r="N22" i="25"/>
  <c r="N13" i="25"/>
  <c r="N12" i="25"/>
  <c r="N11" i="25"/>
  <c r="N10" i="25"/>
  <c r="N9" i="25"/>
  <c r="N8" i="25"/>
  <c r="M39" i="25"/>
  <c r="M38" i="25"/>
  <c r="M37" i="25"/>
  <c r="M36" i="25"/>
  <c r="M35" i="25"/>
  <c r="M24" i="25"/>
  <c r="M23" i="25"/>
  <c r="M22" i="25"/>
  <c r="M13" i="25"/>
  <c r="M12" i="25"/>
  <c r="M11" i="25"/>
  <c r="M10" i="25"/>
  <c r="M9" i="25"/>
  <c r="M8" i="25"/>
  <c r="H39" i="25"/>
  <c r="H38" i="25"/>
  <c r="H37" i="25"/>
  <c r="H36" i="25"/>
  <c r="H35" i="25"/>
  <c r="H24" i="25"/>
  <c r="H23" i="25"/>
  <c r="H22" i="25"/>
  <c r="H13" i="25"/>
  <c r="H12" i="25"/>
  <c r="H11" i="25"/>
  <c r="H10" i="25"/>
  <c r="H9" i="25"/>
  <c r="H8" i="25"/>
  <c r="G39" i="25"/>
  <c r="G38" i="25"/>
  <c r="G37" i="25"/>
  <c r="G36" i="25"/>
  <c r="G35" i="25"/>
  <c r="G24" i="25"/>
  <c r="G23" i="25"/>
  <c r="G22" i="25"/>
  <c r="F39" i="25"/>
  <c r="F38" i="25"/>
  <c r="F37" i="25"/>
  <c r="F36" i="25"/>
  <c r="F35" i="25"/>
  <c r="F24" i="25"/>
  <c r="F23" i="25"/>
  <c r="F22" i="25"/>
  <c r="F13" i="25"/>
  <c r="F12" i="25"/>
  <c r="F11" i="25"/>
  <c r="F10" i="25"/>
  <c r="F9" i="25"/>
  <c r="F8" i="25"/>
  <c r="E39" i="25"/>
  <c r="E38" i="25"/>
  <c r="E37" i="25"/>
  <c r="E36" i="25"/>
  <c r="E35" i="25"/>
  <c r="E24" i="25"/>
  <c r="E23" i="25"/>
  <c r="E22" i="25"/>
  <c r="E13" i="25"/>
  <c r="E12" i="25"/>
  <c r="E11" i="25"/>
  <c r="E10" i="25"/>
  <c r="E9" i="25"/>
  <c r="E8" i="25"/>
  <c r="D39" i="25"/>
  <c r="D38" i="25"/>
  <c r="D37" i="25"/>
  <c r="D36" i="25"/>
  <c r="D35" i="25"/>
  <c r="D24" i="25"/>
  <c r="D23" i="25"/>
  <c r="D22" i="25"/>
  <c r="D13" i="25"/>
  <c r="D12" i="25"/>
  <c r="D11" i="25"/>
  <c r="D10" i="25"/>
  <c r="D9" i="25"/>
  <c r="D8" i="25"/>
  <c r="C39" i="25"/>
  <c r="C38" i="25"/>
  <c r="C37" i="25"/>
  <c r="C36" i="25"/>
  <c r="C35" i="25"/>
  <c r="C24" i="25"/>
  <c r="C23" i="25"/>
  <c r="C22" i="25"/>
  <c r="I22" i="25" s="1"/>
  <c r="C13" i="25"/>
  <c r="C12" i="25"/>
  <c r="C11" i="25"/>
  <c r="C10" i="25"/>
  <c r="C9" i="25"/>
  <c r="C8" i="25"/>
  <c r="B39" i="25"/>
  <c r="B38" i="25"/>
  <c r="B37" i="25"/>
  <c r="B36" i="25"/>
  <c r="B35" i="25"/>
  <c r="B24" i="25"/>
  <c r="B23" i="25"/>
  <c r="B22" i="25"/>
  <c r="B13" i="25"/>
  <c r="B12" i="25"/>
  <c r="B11" i="25"/>
  <c r="B10" i="25"/>
  <c r="B9" i="25"/>
  <c r="B8" i="25"/>
  <c r="A39" i="25"/>
  <c r="R39" i="25" s="1"/>
  <c r="A38" i="25"/>
  <c r="A37" i="25"/>
  <c r="A36" i="25"/>
  <c r="R36" i="25" s="1"/>
  <c r="A35" i="25"/>
  <c r="R35" i="25" s="1"/>
  <c r="A24" i="25"/>
  <c r="R24" i="25" s="1"/>
  <c r="A23" i="25"/>
  <c r="R23" i="25" s="1"/>
  <c r="A22" i="25"/>
  <c r="A13" i="25"/>
  <c r="A12" i="25"/>
  <c r="A11" i="25"/>
  <c r="R11" i="25" s="1"/>
  <c r="A10" i="25"/>
  <c r="R10" i="25" s="1"/>
  <c r="A8" i="25"/>
  <c r="R8" i="25" s="1"/>
  <c r="R38" i="25"/>
  <c r="R37" i="25"/>
  <c r="R22" i="25"/>
  <c r="R13" i="25"/>
  <c r="R12" i="25"/>
  <c r="R9" i="25"/>
  <c r="W35" i="23"/>
  <c r="X35" i="23"/>
  <c r="W36" i="23"/>
  <c r="X36" i="23"/>
  <c r="W37" i="23"/>
  <c r="X37" i="23"/>
  <c r="W38" i="23"/>
  <c r="X38" i="23"/>
  <c r="X34" i="23"/>
  <c r="W34" i="23"/>
  <c r="W23" i="23"/>
  <c r="X23" i="23"/>
  <c r="W24" i="23"/>
  <c r="X24" i="23"/>
  <c r="X22" i="23"/>
  <c r="W22" i="23"/>
  <c r="W9" i="23"/>
  <c r="X9" i="23"/>
  <c r="W10" i="23"/>
  <c r="X10" i="23"/>
  <c r="W11" i="23"/>
  <c r="X11" i="23"/>
  <c r="W12" i="23"/>
  <c r="X12" i="23"/>
  <c r="W13" i="23"/>
  <c r="X13" i="23"/>
  <c r="X8" i="23"/>
  <c r="W8" i="23"/>
  <c r="K22" i="27" l="1"/>
  <c r="L22" i="27" s="1"/>
  <c r="J22" i="27"/>
  <c r="Q35" i="27"/>
  <c r="Q20" i="27"/>
  <c r="I21" i="27"/>
  <c r="K21" i="27" s="1"/>
  <c r="L21" i="27" s="1"/>
  <c r="Q33" i="27"/>
  <c r="I34" i="27"/>
  <c r="K34" i="27" s="1"/>
  <c r="L34" i="27" s="1"/>
  <c r="Q23" i="27"/>
  <c r="Q8" i="27"/>
  <c r="Q10" i="27"/>
  <c r="I11" i="27"/>
  <c r="K11" i="27" s="1"/>
  <c r="L11" i="27" s="1"/>
  <c r="I9" i="27"/>
  <c r="I20" i="27"/>
  <c r="J20" i="27" s="1"/>
  <c r="Q34" i="27"/>
  <c r="Q9" i="27"/>
  <c r="Q11" i="27"/>
  <c r="Q21" i="27"/>
  <c r="Q22" i="27"/>
  <c r="I35" i="27"/>
  <c r="K35" i="27" s="1"/>
  <c r="L35" i="27" s="1"/>
  <c r="I23" i="27"/>
  <c r="K23" i="27" s="1"/>
  <c r="L23" i="27" s="1"/>
  <c r="I10" i="27"/>
  <c r="K10" i="27" s="1"/>
  <c r="L10" i="27" s="1"/>
  <c r="I8" i="27"/>
  <c r="J8" i="27" s="1"/>
  <c r="I33" i="27"/>
  <c r="K33" i="27" s="1"/>
  <c r="L33" i="27" s="1"/>
  <c r="S35" i="27"/>
  <c r="U35" i="27" s="1"/>
  <c r="K9" i="27"/>
  <c r="L9" i="27" s="1"/>
  <c r="J9" i="27"/>
  <c r="Q25" i="25"/>
  <c r="K25" i="25"/>
  <c r="L25" i="25" s="1"/>
  <c r="J25" i="25"/>
  <c r="S25" i="25"/>
  <c r="U25" i="25" s="1"/>
  <c r="T25" i="25"/>
  <c r="V25" i="25" s="1"/>
  <c r="I13" i="25"/>
  <c r="I39" i="25"/>
  <c r="J39" i="25" s="1"/>
  <c r="I9" i="25"/>
  <c r="I35" i="25"/>
  <c r="I11" i="25"/>
  <c r="J11" i="25" s="1"/>
  <c r="Q23" i="25"/>
  <c r="Q35" i="25"/>
  <c r="Q11" i="25"/>
  <c r="Q39" i="25"/>
  <c r="I24" i="25"/>
  <c r="K24" i="25" s="1"/>
  <c r="L24" i="25" s="1"/>
  <c r="Q24" i="25"/>
  <c r="Q12" i="25"/>
  <c r="Q37" i="25"/>
  <c r="I10" i="25"/>
  <c r="J10" i="25" s="1"/>
  <c r="I12" i="25"/>
  <c r="K12" i="25" s="1"/>
  <c r="L12" i="25" s="1"/>
  <c r="Q8" i="25"/>
  <c r="Q10" i="25"/>
  <c r="Q38" i="25"/>
  <c r="Q22" i="25"/>
  <c r="I8" i="25"/>
  <c r="K8" i="25" s="1"/>
  <c r="I36" i="25"/>
  <c r="K36" i="25" s="1"/>
  <c r="L36" i="25" s="1"/>
  <c r="Q36" i="25"/>
  <c r="I37" i="25"/>
  <c r="K37" i="25" s="1"/>
  <c r="L37" i="25" s="1"/>
  <c r="Q13" i="25"/>
  <c r="I38" i="25"/>
  <c r="J38" i="25" s="1"/>
  <c r="I23" i="25"/>
  <c r="J23" i="25" s="1"/>
  <c r="Q9" i="25"/>
  <c r="J8" i="25"/>
  <c r="K9" i="25"/>
  <c r="L9" i="25" s="1"/>
  <c r="J9" i="25"/>
  <c r="J13" i="25"/>
  <c r="K13" i="25"/>
  <c r="L13" i="25" s="1"/>
  <c r="J36" i="25"/>
  <c r="J22" i="25"/>
  <c r="K22" i="25"/>
  <c r="L22" i="25" s="1"/>
  <c r="K35" i="25"/>
  <c r="L35" i="25" s="1"/>
  <c r="J35" i="25"/>
  <c r="A36" i="23"/>
  <c r="B36" i="23"/>
  <c r="C36" i="23"/>
  <c r="I36" i="23" s="1"/>
  <c r="D36" i="23"/>
  <c r="E36" i="23"/>
  <c r="F36" i="23"/>
  <c r="G36" i="23"/>
  <c r="H36" i="23"/>
  <c r="M36" i="23"/>
  <c r="Q36" i="23" s="1"/>
  <c r="N36" i="23"/>
  <c r="O36" i="23"/>
  <c r="P36" i="23"/>
  <c r="R36" i="23"/>
  <c r="A37" i="23"/>
  <c r="B37" i="23"/>
  <c r="C37" i="23"/>
  <c r="I37" i="23" s="1"/>
  <c r="D37" i="23"/>
  <c r="E37" i="23"/>
  <c r="F37" i="23"/>
  <c r="G37" i="23"/>
  <c r="H37" i="23"/>
  <c r="M37" i="23"/>
  <c r="Q37" i="23" s="1"/>
  <c r="N37" i="23"/>
  <c r="O37" i="23"/>
  <c r="P37" i="23"/>
  <c r="R37" i="23"/>
  <c r="A38" i="23"/>
  <c r="B38" i="23"/>
  <c r="C38" i="23"/>
  <c r="I38" i="23" s="1"/>
  <c r="D38" i="23"/>
  <c r="E38" i="23"/>
  <c r="F38" i="23"/>
  <c r="G38" i="23"/>
  <c r="H38" i="23"/>
  <c r="M38" i="23"/>
  <c r="Q38" i="23" s="1"/>
  <c r="N38" i="23"/>
  <c r="O38" i="23"/>
  <c r="P38" i="23"/>
  <c r="R38" i="23"/>
  <c r="A11" i="23"/>
  <c r="B11" i="23"/>
  <c r="C11" i="23"/>
  <c r="D11" i="23"/>
  <c r="I11" i="23" s="1"/>
  <c r="E11" i="23"/>
  <c r="F11" i="23"/>
  <c r="H11" i="23"/>
  <c r="M11" i="23"/>
  <c r="Q11" i="23" s="1"/>
  <c r="N11" i="23"/>
  <c r="O11" i="23"/>
  <c r="P11" i="23"/>
  <c r="R11" i="23"/>
  <c r="A12" i="23"/>
  <c r="B12" i="23"/>
  <c r="C12" i="23"/>
  <c r="D12" i="23"/>
  <c r="E12" i="23"/>
  <c r="F12" i="23"/>
  <c r="H12" i="23"/>
  <c r="I12" i="23"/>
  <c r="K12" i="23" s="1"/>
  <c r="L12" i="23" s="1"/>
  <c r="M12" i="23"/>
  <c r="N12" i="23"/>
  <c r="O12" i="23"/>
  <c r="P12" i="23"/>
  <c r="Q12" i="23"/>
  <c r="R12" i="23"/>
  <c r="A13" i="23"/>
  <c r="B13" i="23"/>
  <c r="C13" i="23"/>
  <c r="D13" i="23"/>
  <c r="E13" i="23"/>
  <c r="F13" i="23"/>
  <c r="H13" i="23"/>
  <c r="I13" i="23"/>
  <c r="K13" i="23" s="1"/>
  <c r="L13" i="23" s="1"/>
  <c r="M13" i="23"/>
  <c r="N13" i="23"/>
  <c r="O13" i="23"/>
  <c r="P13" i="23"/>
  <c r="Q13" i="23"/>
  <c r="R13" i="23"/>
  <c r="P35" i="23"/>
  <c r="O35" i="23"/>
  <c r="N35" i="23"/>
  <c r="M35" i="23"/>
  <c r="H35" i="23"/>
  <c r="G35" i="23"/>
  <c r="F35" i="23"/>
  <c r="E35" i="23"/>
  <c r="D35" i="23"/>
  <c r="C35" i="23"/>
  <c r="B35" i="23"/>
  <c r="A35" i="23"/>
  <c r="R35" i="23" s="1"/>
  <c r="P34" i="23"/>
  <c r="O34" i="23"/>
  <c r="N34" i="23"/>
  <c r="M34" i="23"/>
  <c r="Q34" i="23" s="1"/>
  <c r="H34" i="23"/>
  <c r="G34" i="23"/>
  <c r="F34" i="23"/>
  <c r="E34" i="23"/>
  <c r="D34" i="23"/>
  <c r="C34" i="23"/>
  <c r="B34" i="23"/>
  <c r="A34" i="23"/>
  <c r="R34" i="23" s="1"/>
  <c r="P24" i="23"/>
  <c r="O24" i="23"/>
  <c r="N24" i="23"/>
  <c r="M24" i="23"/>
  <c r="H24" i="23"/>
  <c r="G24" i="23"/>
  <c r="F24" i="23"/>
  <c r="E24" i="23"/>
  <c r="D24" i="23"/>
  <c r="C24" i="23"/>
  <c r="B24" i="23"/>
  <c r="A24" i="23"/>
  <c r="P23" i="23"/>
  <c r="O23" i="23"/>
  <c r="N23" i="23"/>
  <c r="M23" i="23"/>
  <c r="H23" i="23"/>
  <c r="G23" i="23"/>
  <c r="F23" i="23"/>
  <c r="E23" i="23"/>
  <c r="D23" i="23"/>
  <c r="C23" i="23"/>
  <c r="I23" i="23" s="1"/>
  <c r="K23" i="23" s="1"/>
  <c r="L23" i="23" s="1"/>
  <c r="B23" i="23"/>
  <c r="A23" i="23"/>
  <c r="R23" i="23" s="1"/>
  <c r="P22" i="23"/>
  <c r="O22" i="23"/>
  <c r="N22" i="23"/>
  <c r="M22" i="23"/>
  <c r="Q22" i="23" s="1"/>
  <c r="H22" i="23"/>
  <c r="G22" i="23"/>
  <c r="F22" i="23"/>
  <c r="E22" i="23"/>
  <c r="D22" i="23"/>
  <c r="C22" i="23"/>
  <c r="B22" i="23"/>
  <c r="A22" i="23"/>
  <c r="R22" i="23" s="1"/>
  <c r="P10" i="23"/>
  <c r="O10" i="23"/>
  <c r="N10" i="23"/>
  <c r="M10" i="23"/>
  <c r="Q10" i="23" s="1"/>
  <c r="H10" i="23"/>
  <c r="F10" i="23"/>
  <c r="E10" i="23"/>
  <c r="D10" i="23"/>
  <c r="C10" i="23"/>
  <c r="B10" i="23"/>
  <c r="A10" i="23"/>
  <c r="P9" i="23"/>
  <c r="O9" i="23"/>
  <c r="N9" i="23"/>
  <c r="M9" i="23"/>
  <c r="H9" i="23"/>
  <c r="F9" i="23"/>
  <c r="E9" i="23"/>
  <c r="D9" i="23"/>
  <c r="C9" i="23"/>
  <c r="I9" i="23" s="1"/>
  <c r="B9" i="23"/>
  <c r="A9" i="23"/>
  <c r="R9" i="23" s="1"/>
  <c r="P8" i="23"/>
  <c r="O8" i="23"/>
  <c r="N8" i="23"/>
  <c r="M8" i="23"/>
  <c r="Q8" i="23" s="1"/>
  <c r="H8" i="23"/>
  <c r="F8" i="23"/>
  <c r="E8" i="23"/>
  <c r="D8" i="23"/>
  <c r="C8" i="23"/>
  <c r="B8" i="23"/>
  <c r="A8" i="23"/>
  <c r="R8" i="23" s="1"/>
  <c r="Q35" i="23"/>
  <c r="R24" i="23"/>
  <c r="R10" i="23"/>
  <c r="X32" i="20"/>
  <c r="W32" i="20"/>
  <c r="P32" i="20"/>
  <c r="O32" i="20"/>
  <c r="Q32" i="20" s="1"/>
  <c r="N32" i="20"/>
  <c r="M32" i="20"/>
  <c r="H32" i="20"/>
  <c r="G32" i="20"/>
  <c r="F32" i="20"/>
  <c r="E32" i="20"/>
  <c r="D32" i="20"/>
  <c r="C32" i="20"/>
  <c r="I32" i="20" s="1"/>
  <c r="B32" i="20"/>
  <c r="A32" i="20"/>
  <c r="X31" i="20"/>
  <c r="W31" i="20"/>
  <c r="P31" i="20"/>
  <c r="O31" i="20"/>
  <c r="N31" i="20"/>
  <c r="M31" i="20"/>
  <c r="Q31" i="20" s="1"/>
  <c r="H31" i="20"/>
  <c r="G31" i="20"/>
  <c r="F31" i="20"/>
  <c r="E31" i="20"/>
  <c r="I31" i="20" s="1"/>
  <c r="D31" i="20"/>
  <c r="C31" i="20"/>
  <c r="B31" i="20"/>
  <c r="A31" i="20"/>
  <c r="R31" i="20" s="1"/>
  <c r="X21" i="20"/>
  <c r="W21" i="20"/>
  <c r="P21" i="20"/>
  <c r="O21" i="20"/>
  <c r="N21" i="20"/>
  <c r="M21" i="20"/>
  <c r="H21" i="20"/>
  <c r="G21" i="20"/>
  <c r="F21" i="20"/>
  <c r="E21" i="20"/>
  <c r="D21" i="20"/>
  <c r="C21" i="20"/>
  <c r="I21" i="20" s="1"/>
  <c r="B21" i="20"/>
  <c r="A21" i="20"/>
  <c r="X20" i="20"/>
  <c r="W20" i="20"/>
  <c r="P20" i="20"/>
  <c r="O20" i="20"/>
  <c r="N20" i="20"/>
  <c r="M20" i="20"/>
  <c r="Q20" i="20" s="1"/>
  <c r="H20" i="20"/>
  <c r="G20" i="20"/>
  <c r="F20" i="20"/>
  <c r="E20" i="20"/>
  <c r="D20" i="20"/>
  <c r="C20" i="20"/>
  <c r="B20" i="20"/>
  <c r="A20" i="20"/>
  <c r="R20" i="20" s="1"/>
  <c r="X19" i="20"/>
  <c r="W19" i="20"/>
  <c r="P19" i="20"/>
  <c r="O19" i="20"/>
  <c r="Q19" i="20" s="1"/>
  <c r="N19" i="20"/>
  <c r="M19" i="20"/>
  <c r="H19" i="20"/>
  <c r="G19" i="20"/>
  <c r="F19" i="20"/>
  <c r="E19" i="20"/>
  <c r="D19" i="20"/>
  <c r="C19" i="20"/>
  <c r="I19" i="20" s="1"/>
  <c r="B19" i="20"/>
  <c r="A19" i="20"/>
  <c r="X10" i="20"/>
  <c r="W10" i="20"/>
  <c r="P10" i="20"/>
  <c r="O10" i="20"/>
  <c r="N10" i="20"/>
  <c r="M10" i="20"/>
  <c r="Q10" i="20" s="1"/>
  <c r="H10" i="20"/>
  <c r="F10" i="20"/>
  <c r="E10" i="20"/>
  <c r="D10" i="20"/>
  <c r="I10" i="20" s="1"/>
  <c r="C10" i="20"/>
  <c r="B10" i="20"/>
  <c r="A10" i="20"/>
  <c r="X9" i="20"/>
  <c r="W9" i="20"/>
  <c r="P9" i="20"/>
  <c r="O9" i="20"/>
  <c r="N9" i="20"/>
  <c r="M9" i="20"/>
  <c r="H9" i="20"/>
  <c r="F9" i="20"/>
  <c r="E9" i="20"/>
  <c r="I9" i="20" s="1"/>
  <c r="D9" i="20"/>
  <c r="C9" i="20"/>
  <c r="B9" i="20"/>
  <c r="A9" i="20"/>
  <c r="R9" i="20" s="1"/>
  <c r="X8" i="20"/>
  <c r="W8" i="20"/>
  <c r="P8" i="20"/>
  <c r="O8" i="20"/>
  <c r="Q8" i="20" s="1"/>
  <c r="N8" i="20"/>
  <c r="M8" i="20"/>
  <c r="H8" i="20"/>
  <c r="F8" i="20"/>
  <c r="E8" i="20"/>
  <c r="D8" i="20"/>
  <c r="C8" i="20"/>
  <c r="B8" i="20"/>
  <c r="A8" i="20"/>
  <c r="R32" i="20"/>
  <c r="Q21" i="20"/>
  <c r="R21" i="20"/>
  <c r="I20" i="20"/>
  <c r="R19" i="20"/>
  <c r="R10" i="20"/>
  <c r="Q9" i="20"/>
  <c r="I8" i="20"/>
  <c r="R8" i="20"/>
  <c r="A21" i="19"/>
  <c r="B21" i="19"/>
  <c r="C21" i="19"/>
  <c r="I21" i="19" s="1"/>
  <c r="D21" i="19"/>
  <c r="E21" i="19"/>
  <c r="F21" i="19"/>
  <c r="G21" i="19"/>
  <c r="H21" i="19"/>
  <c r="M21" i="19"/>
  <c r="N21" i="19"/>
  <c r="O21" i="19"/>
  <c r="Q21" i="19" s="1"/>
  <c r="P21" i="19"/>
  <c r="R21" i="19"/>
  <c r="W21" i="19"/>
  <c r="X21" i="19"/>
  <c r="A10" i="19"/>
  <c r="B10" i="19"/>
  <c r="C10" i="19"/>
  <c r="D10" i="19"/>
  <c r="E10" i="19"/>
  <c r="F10" i="19"/>
  <c r="H10" i="19"/>
  <c r="I10" i="19"/>
  <c r="J10" i="19" s="1"/>
  <c r="M10" i="19"/>
  <c r="N10" i="19"/>
  <c r="O10" i="19"/>
  <c r="P10" i="19"/>
  <c r="Q10" i="19"/>
  <c r="R10" i="19"/>
  <c r="W10" i="19"/>
  <c r="X10" i="19"/>
  <c r="J34" i="27" l="1"/>
  <c r="J21" i="27"/>
  <c r="S21" i="27" s="1"/>
  <c r="J11" i="27"/>
  <c r="S34" i="27"/>
  <c r="U34" i="27" s="1"/>
  <c r="S11" i="27"/>
  <c r="U11" i="27" s="1"/>
  <c r="K20" i="27"/>
  <c r="L20" i="27" s="1"/>
  <c r="J23" i="27"/>
  <c r="J33" i="27"/>
  <c r="K8" i="27"/>
  <c r="L8" i="27" s="1"/>
  <c r="S22" i="27"/>
  <c r="T22" i="27" s="1"/>
  <c r="V22" i="27" s="1"/>
  <c r="J10" i="27"/>
  <c r="S10" i="27" s="1"/>
  <c r="U10" i="27" s="1"/>
  <c r="J35" i="27"/>
  <c r="S23" i="27"/>
  <c r="T23" i="27" s="1"/>
  <c r="V23" i="27" s="1"/>
  <c r="S33" i="27"/>
  <c r="T33" i="27" s="1"/>
  <c r="V33" i="27" s="1"/>
  <c r="S9" i="27"/>
  <c r="U9" i="27" s="1"/>
  <c r="T35" i="27"/>
  <c r="V35" i="27" s="1"/>
  <c r="K39" i="25"/>
  <c r="L39" i="25" s="1"/>
  <c r="K38" i="25"/>
  <c r="L38" i="25" s="1"/>
  <c r="J24" i="25"/>
  <c r="S37" i="25"/>
  <c r="U37" i="25" s="1"/>
  <c r="K11" i="25"/>
  <c r="L11" i="25" s="1"/>
  <c r="K23" i="25"/>
  <c r="L23" i="25" s="1"/>
  <c r="L8" i="25"/>
  <c r="S8" i="25"/>
  <c r="U8" i="25" s="1"/>
  <c r="J12" i="25"/>
  <c r="J37" i="25"/>
  <c r="S12" i="25"/>
  <c r="U12" i="25" s="1"/>
  <c r="K10" i="25"/>
  <c r="L10" i="25" s="1"/>
  <c r="S39" i="25"/>
  <c r="S23" i="25"/>
  <c r="T23" i="25" s="1"/>
  <c r="V23" i="25" s="1"/>
  <c r="S35" i="25"/>
  <c r="S36" i="25"/>
  <c r="T36" i="25" s="1"/>
  <c r="V36" i="25" s="1"/>
  <c r="S24" i="25"/>
  <c r="T24" i="25" s="1"/>
  <c r="V24" i="25" s="1"/>
  <c r="S38" i="25"/>
  <c r="S9" i="25"/>
  <c r="U9" i="25" s="1"/>
  <c r="T37" i="25"/>
  <c r="V37" i="25" s="1"/>
  <c r="S13" i="25"/>
  <c r="S22" i="25"/>
  <c r="K36" i="23"/>
  <c r="L36" i="23" s="1"/>
  <c r="J36" i="23"/>
  <c r="K37" i="23"/>
  <c r="L37" i="23" s="1"/>
  <c r="J37" i="23"/>
  <c r="J38" i="23"/>
  <c r="K38" i="23"/>
  <c r="L38" i="23" s="1"/>
  <c r="S36" i="23"/>
  <c r="U36" i="23" s="1"/>
  <c r="J13" i="23"/>
  <c r="S12" i="23"/>
  <c r="U12" i="23" s="1"/>
  <c r="J11" i="23"/>
  <c r="K11" i="23"/>
  <c r="L11" i="23" s="1"/>
  <c r="S13" i="23"/>
  <c r="U13" i="23" s="1"/>
  <c r="J12" i="23"/>
  <c r="I8" i="23"/>
  <c r="Q9" i="23"/>
  <c r="Q23" i="23"/>
  <c r="I35" i="23"/>
  <c r="K35" i="23" s="1"/>
  <c r="L35" i="23" s="1"/>
  <c r="I24" i="23"/>
  <c r="K24" i="23" s="1"/>
  <c r="L24" i="23" s="1"/>
  <c r="Q24" i="23"/>
  <c r="I34" i="23"/>
  <c r="K34" i="23" s="1"/>
  <c r="L34" i="23" s="1"/>
  <c r="I10" i="23"/>
  <c r="K10" i="23" s="1"/>
  <c r="L10" i="23" s="1"/>
  <c r="I22" i="23"/>
  <c r="K22" i="23" s="1"/>
  <c r="L22" i="23" s="1"/>
  <c r="K8" i="23"/>
  <c r="L8" i="23" s="1"/>
  <c r="J8" i="23"/>
  <c r="K9" i="23"/>
  <c r="L9" i="23" s="1"/>
  <c r="J9" i="23"/>
  <c r="J23" i="23"/>
  <c r="S23" i="23"/>
  <c r="J10" i="20"/>
  <c r="K10" i="20"/>
  <c r="L10" i="20" s="1"/>
  <c r="J32" i="20"/>
  <c r="K32" i="20"/>
  <c r="L32" i="20" s="1"/>
  <c r="J20" i="20"/>
  <c r="K20" i="20"/>
  <c r="L20" i="20" s="1"/>
  <c r="S20" i="20"/>
  <c r="U20" i="20" s="1"/>
  <c r="J31" i="20"/>
  <c r="K31" i="20"/>
  <c r="L31" i="20" s="1"/>
  <c r="J8" i="20"/>
  <c r="K8" i="20"/>
  <c r="L8" i="20" s="1"/>
  <c r="K9" i="20"/>
  <c r="L9" i="20" s="1"/>
  <c r="J9" i="20"/>
  <c r="S9" i="20"/>
  <c r="U9" i="20" s="1"/>
  <c r="T9" i="20"/>
  <c r="V9" i="20" s="1"/>
  <c r="K19" i="20"/>
  <c r="L19" i="20" s="1"/>
  <c r="J19" i="20"/>
  <c r="K21" i="20"/>
  <c r="L21" i="20" s="1"/>
  <c r="J21" i="20"/>
  <c r="S10" i="20"/>
  <c r="U10" i="20" s="1"/>
  <c r="S32" i="20"/>
  <c r="T32" i="20" s="1"/>
  <c r="V32" i="20" s="1"/>
  <c r="S21" i="19"/>
  <c r="U21" i="19" s="1"/>
  <c r="J21" i="19"/>
  <c r="K21" i="19"/>
  <c r="L21" i="19" s="1"/>
  <c r="K10" i="19"/>
  <c r="L10" i="19" s="1"/>
  <c r="X32" i="19"/>
  <c r="W32" i="19"/>
  <c r="P32" i="19"/>
  <c r="O32" i="19"/>
  <c r="N32" i="19"/>
  <c r="M32" i="19"/>
  <c r="H32" i="19"/>
  <c r="G32" i="19"/>
  <c r="F32" i="19"/>
  <c r="E32" i="19"/>
  <c r="D32" i="19"/>
  <c r="C32" i="19"/>
  <c r="I32" i="19" s="1"/>
  <c r="B32" i="19"/>
  <c r="A32" i="19"/>
  <c r="X31" i="19"/>
  <c r="W31" i="19"/>
  <c r="P31" i="19"/>
  <c r="O31" i="19"/>
  <c r="N31" i="19"/>
  <c r="M31" i="19"/>
  <c r="Q31" i="19" s="1"/>
  <c r="H31" i="19"/>
  <c r="G31" i="19"/>
  <c r="F31" i="19"/>
  <c r="E31" i="19"/>
  <c r="I31" i="19" s="1"/>
  <c r="D31" i="19"/>
  <c r="C31" i="19"/>
  <c r="B31" i="19"/>
  <c r="A31" i="19"/>
  <c r="R31" i="19" s="1"/>
  <c r="X20" i="19"/>
  <c r="W20" i="19"/>
  <c r="P20" i="19"/>
  <c r="O20" i="19"/>
  <c r="Q20" i="19" s="1"/>
  <c r="N20" i="19"/>
  <c r="M20" i="19"/>
  <c r="H20" i="19"/>
  <c r="G20" i="19"/>
  <c r="F20" i="19"/>
  <c r="E20" i="19"/>
  <c r="D20" i="19"/>
  <c r="C20" i="19"/>
  <c r="B20" i="19"/>
  <c r="A20" i="19"/>
  <c r="X19" i="19"/>
  <c r="W19" i="19"/>
  <c r="P19" i="19"/>
  <c r="O19" i="19"/>
  <c r="N19" i="19"/>
  <c r="M19" i="19"/>
  <c r="Q19" i="19" s="1"/>
  <c r="H19" i="19"/>
  <c r="G19" i="19"/>
  <c r="F19" i="19"/>
  <c r="E19" i="19"/>
  <c r="I19" i="19" s="1"/>
  <c r="D19" i="19"/>
  <c r="C19" i="19"/>
  <c r="B19" i="19"/>
  <c r="A19" i="19"/>
  <c r="R19" i="19" s="1"/>
  <c r="X9" i="19"/>
  <c r="W9" i="19"/>
  <c r="P9" i="19"/>
  <c r="O9" i="19"/>
  <c r="Q9" i="19" s="1"/>
  <c r="N9" i="19"/>
  <c r="M9" i="19"/>
  <c r="H9" i="19"/>
  <c r="F9" i="19"/>
  <c r="I9" i="19" s="1"/>
  <c r="E9" i="19"/>
  <c r="D9" i="19"/>
  <c r="C9" i="19"/>
  <c r="B9" i="19"/>
  <c r="A9" i="19"/>
  <c r="X8" i="19"/>
  <c r="W8" i="19"/>
  <c r="P8" i="19"/>
  <c r="Q8" i="19" s="1"/>
  <c r="O8" i="19"/>
  <c r="N8" i="19"/>
  <c r="M8" i="19"/>
  <c r="H8" i="19"/>
  <c r="F8" i="19"/>
  <c r="E8" i="19"/>
  <c r="D8" i="19"/>
  <c r="C8" i="19"/>
  <c r="B8" i="19"/>
  <c r="A8" i="19"/>
  <c r="R32" i="19"/>
  <c r="R20" i="19"/>
  <c r="R9" i="19"/>
  <c r="R8" i="19"/>
  <c r="U21" i="27" l="1"/>
  <c r="T21" i="27"/>
  <c r="V21" i="27" s="1"/>
  <c r="T34" i="27"/>
  <c r="V34" i="27" s="1"/>
  <c r="S20" i="27"/>
  <c r="T20" i="27" s="1"/>
  <c r="V20" i="27" s="1"/>
  <c r="T11" i="27"/>
  <c r="V11" i="27" s="1"/>
  <c r="T10" i="27"/>
  <c r="V10" i="27" s="1"/>
  <c r="S8" i="27"/>
  <c r="U8" i="27" s="1"/>
  <c r="U22" i="27"/>
  <c r="U23" i="27"/>
  <c r="U33" i="27"/>
  <c r="T9" i="27"/>
  <c r="V9" i="27" s="1"/>
  <c r="U20" i="27"/>
  <c r="U23" i="25"/>
  <c r="S10" i="25"/>
  <c r="U10" i="25" s="1"/>
  <c r="S11" i="25"/>
  <c r="T8" i="25"/>
  <c r="V8" i="25" s="1"/>
  <c r="T12" i="25"/>
  <c r="V12" i="25" s="1"/>
  <c r="T10" i="25"/>
  <c r="V10" i="25" s="1"/>
  <c r="U36" i="25"/>
  <c r="U39" i="25"/>
  <c r="T39" i="25"/>
  <c r="V39" i="25" s="1"/>
  <c r="U38" i="25"/>
  <c r="T38" i="25"/>
  <c r="V38" i="25" s="1"/>
  <c r="T9" i="25"/>
  <c r="V9" i="25" s="1"/>
  <c r="U24" i="25"/>
  <c r="U35" i="25"/>
  <c r="T35" i="25"/>
  <c r="V35" i="25" s="1"/>
  <c r="T22" i="25"/>
  <c r="V22" i="25" s="1"/>
  <c r="U22" i="25"/>
  <c r="U13" i="25"/>
  <c r="T13" i="25"/>
  <c r="V13" i="25" s="1"/>
  <c r="U11" i="25"/>
  <c r="T11" i="25"/>
  <c r="V11" i="25" s="1"/>
  <c r="T36" i="23"/>
  <c r="V36" i="23" s="1"/>
  <c r="S38" i="23"/>
  <c r="S37" i="23"/>
  <c r="T13" i="23"/>
  <c r="V13" i="23" s="1"/>
  <c r="T12" i="23"/>
  <c r="V12" i="23" s="1"/>
  <c r="S11" i="23"/>
  <c r="J24" i="23"/>
  <c r="S35" i="23"/>
  <c r="U35" i="23" s="1"/>
  <c r="S24" i="23"/>
  <c r="U24" i="23" s="1"/>
  <c r="S34" i="23"/>
  <c r="T34" i="23" s="1"/>
  <c r="V34" i="23" s="1"/>
  <c r="S22" i="23"/>
  <c r="T22" i="23" s="1"/>
  <c r="V22" i="23" s="1"/>
  <c r="J34" i="23"/>
  <c r="T23" i="23"/>
  <c r="V23" i="23" s="1"/>
  <c r="J22" i="23"/>
  <c r="J10" i="23"/>
  <c r="J35" i="23"/>
  <c r="T35" i="23" s="1"/>
  <c r="V35" i="23" s="1"/>
  <c r="S10" i="23"/>
  <c r="U10" i="23" s="1"/>
  <c r="S9" i="23"/>
  <c r="U9" i="23" s="1"/>
  <c r="U23" i="23"/>
  <c r="T24" i="23"/>
  <c r="V24" i="23" s="1"/>
  <c r="S8" i="23"/>
  <c r="U32" i="20"/>
  <c r="S21" i="20"/>
  <c r="U21" i="20" s="1"/>
  <c r="T21" i="20"/>
  <c r="V21" i="20" s="1"/>
  <c r="T20" i="20"/>
  <c r="V20" i="20" s="1"/>
  <c r="S8" i="20"/>
  <c r="S19" i="20"/>
  <c r="S31" i="20"/>
  <c r="T10" i="20"/>
  <c r="V10" i="20" s="1"/>
  <c r="T21" i="19"/>
  <c r="V21" i="19" s="1"/>
  <c r="S10" i="19"/>
  <c r="I20" i="19"/>
  <c r="Q32" i="19"/>
  <c r="I8" i="19"/>
  <c r="K8" i="19" s="1"/>
  <c r="K32" i="19"/>
  <c r="L32" i="19" s="1"/>
  <c r="J32" i="19"/>
  <c r="K19" i="19"/>
  <c r="L19" i="19" s="1"/>
  <c r="J19" i="19"/>
  <c r="K31" i="19"/>
  <c r="L31" i="19" s="1"/>
  <c r="J31" i="19"/>
  <c r="K9" i="19"/>
  <c r="L9" i="19" s="1"/>
  <c r="J9" i="19"/>
  <c r="K20" i="19"/>
  <c r="L20" i="19" s="1"/>
  <c r="J20" i="19"/>
  <c r="X30" i="17"/>
  <c r="W30" i="17"/>
  <c r="P30" i="17"/>
  <c r="O30" i="17"/>
  <c r="N30" i="17"/>
  <c r="M30" i="17"/>
  <c r="Q30" i="17"/>
  <c r="H30" i="17"/>
  <c r="G30" i="17"/>
  <c r="F30" i="17"/>
  <c r="C30" i="17"/>
  <c r="D30" i="17"/>
  <c r="E30" i="17"/>
  <c r="I30" i="17"/>
  <c r="B30" i="17"/>
  <c r="A30" i="17"/>
  <c r="X29" i="17"/>
  <c r="W29" i="17"/>
  <c r="P29" i="17"/>
  <c r="M29" i="17"/>
  <c r="N29" i="17"/>
  <c r="O29" i="17"/>
  <c r="Q29" i="17"/>
  <c r="H29" i="17"/>
  <c r="G29" i="17"/>
  <c r="F29" i="17"/>
  <c r="E29" i="17"/>
  <c r="D29" i="17"/>
  <c r="C29" i="17"/>
  <c r="I29" i="17"/>
  <c r="B29" i="17"/>
  <c r="A29" i="17"/>
  <c r="X19" i="17"/>
  <c r="W19" i="17"/>
  <c r="P19" i="17"/>
  <c r="O19" i="17"/>
  <c r="N19" i="17"/>
  <c r="M19" i="17"/>
  <c r="H19" i="17"/>
  <c r="G19" i="17"/>
  <c r="F19" i="17"/>
  <c r="C19" i="17"/>
  <c r="D19" i="17"/>
  <c r="E19" i="17"/>
  <c r="I19" i="17"/>
  <c r="B19" i="17"/>
  <c r="A19" i="17"/>
  <c r="X18" i="17"/>
  <c r="W18" i="17"/>
  <c r="P18" i="17"/>
  <c r="M18" i="17"/>
  <c r="N18" i="17"/>
  <c r="O18" i="17"/>
  <c r="Q18" i="17"/>
  <c r="H18" i="17"/>
  <c r="G18" i="17"/>
  <c r="F18" i="17"/>
  <c r="E18" i="17"/>
  <c r="D18" i="17"/>
  <c r="C18" i="17"/>
  <c r="B18" i="17"/>
  <c r="A18" i="17"/>
  <c r="X9" i="17"/>
  <c r="W9" i="17"/>
  <c r="P9" i="17"/>
  <c r="O9" i="17"/>
  <c r="N9" i="17"/>
  <c r="M9" i="17"/>
  <c r="Q9" i="17"/>
  <c r="H9" i="17"/>
  <c r="F9" i="17"/>
  <c r="E9" i="17"/>
  <c r="C9" i="17"/>
  <c r="D9" i="17"/>
  <c r="I9" i="17"/>
  <c r="B9" i="17"/>
  <c r="A9" i="17"/>
  <c r="X8" i="17"/>
  <c r="W8" i="17"/>
  <c r="P8" i="17"/>
  <c r="O8" i="17"/>
  <c r="M8" i="17"/>
  <c r="N8" i="17"/>
  <c r="Q8" i="17"/>
  <c r="H8" i="17"/>
  <c r="F8" i="17"/>
  <c r="C8" i="17"/>
  <c r="D8" i="17"/>
  <c r="E8" i="17"/>
  <c r="I8" i="17"/>
  <c r="B8" i="17"/>
  <c r="A8" i="17"/>
  <c r="R30" i="17"/>
  <c r="R29" i="17"/>
  <c r="Q19" i="17"/>
  <c r="R19" i="17"/>
  <c r="I18" i="17"/>
  <c r="R18" i="17"/>
  <c r="R9" i="17"/>
  <c r="R8" i="17"/>
  <c r="J19" i="17"/>
  <c r="K19" i="17"/>
  <c r="L19" i="17"/>
  <c r="S19" i="17"/>
  <c r="T19" i="17"/>
  <c r="V19" i="17"/>
  <c r="K9" i="17"/>
  <c r="L9" i="17"/>
  <c r="J9" i="17"/>
  <c r="J30" i="17"/>
  <c r="K30" i="17"/>
  <c r="L30" i="17"/>
  <c r="S9" i="17"/>
  <c r="T9" i="17"/>
  <c r="V9" i="17"/>
  <c r="U9" i="17"/>
  <c r="K8" i="17"/>
  <c r="L8" i="17"/>
  <c r="J8" i="17"/>
  <c r="S8" i="17"/>
  <c r="U8" i="17"/>
  <c r="K18" i="17"/>
  <c r="L18" i="17"/>
  <c r="J18" i="17"/>
  <c r="J29" i="17"/>
  <c r="K29" i="17"/>
  <c r="L29" i="17"/>
  <c r="U19" i="17"/>
  <c r="S30" i="17"/>
  <c r="U30" i="17"/>
  <c r="X29" i="13"/>
  <c r="S30" i="15"/>
  <c r="T30" i="15"/>
  <c r="S29" i="15"/>
  <c r="T29" i="15"/>
  <c r="S19" i="15"/>
  <c r="T19" i="15"/>
  <c r="S18" i="15"/>
  <c r="T18" i="15"/>
  <c r="S9" i="15"/>
  <c r="T9" i="15"/>
  <c r="S8" i="15"/>
  <c r="T8" i="15"/>
  <c r="L30" i="15"/>
  <c r="L29" i="15"/>
  <c r="L19" i="15"/>
  <c r="L18" i="15"/>
  <c r="L9" i="15"/>
  <c r="L8" i="15"/>
  <c r="S30" i="13"/>
  <c r="T30" i="13"/>
  <c r="S29" i="13"/>
  <c r="T29" i="13"/>
  <c r="S19" i="13"/>
  <c r="T19" i="13"/>
  <c r="S18" i="13"/>
  <c r="T18" i="13"/>
  <c r="S9" i="13"/>
  <c r="T9" i="13"/>
  <c r="S8" i="13"/>
  <c r="T8" i="13"/>
  <c r="L30" i="13"/>
  <c r="L29" i="13"/>
  <c r="L19" i="13"/>
  <c r="L18" i="13"/>
  <c r="L9" i="13"/>
  <c r="L8" i="13"/>
  <c r="S18" i="17"/>
  <c r="T30" i="17"/>
  <c r="V30" i="17"/>
  <c r="S29" i="17"/>
  <c r="T8" i="17"/>
  <c r="V8" i="17"/>
  <c r="F30" i="13"/>
  <c r="F29" i="13"/>
  <c r="E30" i="13"/>
  <c r="E29" i="13"/>
  <c r="D30" i="13"/>
  <c r="D29" i="13"/>
  <c r="G19" i="13"/>
  <c r="G18" i="13"/>
  <c r="F19" i="13"/>
  <c r="F18" i="13"/>
  <c r="E19" i="13"/>
  <c r="E18" i="13"/>
  <c r="D19" i="13"/>
  <c r="D18" i="13"/>
  <c r="H9" i="13"/>
  <c r="H8" i="13"/>
  <c r="F30" i="15"/>
  <c r="F29" i="15"/>
  <c r="G29" i="15"/>
  <c r="G19" i="15"/>
  <c r="G18" i="15"/>
  <c r="H9" i="15"/>
  <c r="H8" i="15"/>
  <c r="F9" i="13"/>
  <c r="F8" i="13"/>
  <c r="E9" i="13"/>
  <c r="E8" i="13"/>
  <c r="E8" i="15"/>
  <c r="D9" i="13"/>
  <c r="D8" i="13"/>
  <c r="C30" i="13"/>
  <c r="C29" i="13"/>
  <c r="C19" i="13"/>
  <c r="C18" i="13"/>
  <c r="C9" i="13"/>
  <c r="C8" i="13"/>
  <c r="F9" i="15"/>
  <c r="F19" i="15"/>
  <c r="F18" i="15"/>
  <c r="F8" i="15"/>
  <c r="E30" i="15"/>
  <c r="E29" i="15"/>
  <c r="E19" i="15"/>
  <c r="E18" i="15"/>
  <c r="E9" i="15"/>
  <c r="D30" i="15"/>
  <c r="D29" i="15"/>
  <c r="D19" i="15"/>
  <c r="D18" i="15"/>
  <c r="D9" i="15"/>
  <c r="D8" i="15"/>
  <c r="C30" i="15"/>
  <c r="C29" i="15"/>
  <c r="C19" i="15"/>
  <c r="C18" i="15"/>
  <c r="C9" i="15"/>
  <c r="C8" i="15"/>
  <c r="U29" i="17"/>
  <c r="T29" i="17"/>
  <c r="V29" i="17"/>
  <c r="T18" i="17"/>
  <c r="V18" i="17"/>
  <c r="U18" i="17"/>
  <c r="X30" i="15"/>
  <c r="W30" i="15"/>
  <c r="P30" i="15"/>
  <c r="O30" i="15"/>
  <c r="N30" i="15"/>
  <c r="M30" i="15"/>
  <c r="Q30" i="15"/>
  <c r="H30" i="15"/>
  <c r="G30" i="15"/>
  <c r="B30" i="15"/>
  <c r="A30" i="15"/>
  <c r="R30" i="15"/>
  <c r="X29" i="15"/>
  <c r="W29" i="15"/>
  <c r="P29" i="15"/>
  <c r="O29" i="15"/>
  <c r="N29" i="15"/>
  <c r="M29" i="15"/>
  <c r="H29" i="15"/>
  <c r="B29" i="15"/>
  <c r="A29" i="15"/>
  <c r="R29" i="15"/>
  <c r="X19" i="15"/>
  <c r="W19" i="15"/>
  <c r="P19" i="15"/>
  <c r="O19" i="15"/>
  <c r="N19" i="15"/>
  <c r="M19" i="15"/>
  <c r="H19" i="15"/>
  <c r="B19" i="15"/>
  <c r="A19" i="15"/>
  <c r="R19" i="15"/>
  <c r="X18" i="15"/>
  <c r="W18" i="15"/>
  <c r="P18" i="15"/>
  <c r="O18" i="15"/>
  <c r="N18" i="15"/>
  <c r="M18" i="15"/>
  <c r="Q18" i="15"/>
  <c r="H18" i="15"/>
  <c r="B18" i="15"/>
  <c r="A18" i="15"/>
  <c r="R18" i="15"/>
  <c r="X9" i="15"/>
  <c r="W9" i="15"/>
  <c r="P9" i="15"/>
  <c r="O9" i="15"/>
  <c r="N9" i="15"/>
  <c r="M9" i="15"/>
  <c r="B9" i="15"/>
  <c r="A9" i="15"/>
  <c r="R9" i="15"/>
  <c r="X8" i="15"/>
  <c r="W8" i="15"/>
  <c r="P8" i="15"/>
  <c r="O8" i="15"/>
  <c r="N8" i="15"/>
  <c r="M8" i="15"/>
  <c r="I8" i="15"/>
  <c r="B8" i="15"/>
  <c r="A8" i="15"/>
  <c r="R8" i="15"/>
  <c r="Q29" i="15"/>
  <c r="Q8" i="15"/>
  <c r="U8" i="15"/>
  <c r="Q9" i="15"/>
  <c r="Q19" i="15"/>
  <c r="K8" i="15"/>
  <c r="J8" i="15"/>
  <c r="I9" i="15"/>
  <c r="I19" i="15"/>
  <c r="I30" i="15"/>
  <c r="I29" i="15"/>
  <c r="I18" i="15"/>
  <c r="W30" i="13"/>
  <c r="X30" i="13"/>
  <c r="W29" i="13"/>
  <c r="W19" i="13"/>
  <c r="X19" i="13"/>
  <c r="X18" i="13"/>
  <c r="W18" i="13"/>
  <c r="W9" i="13"/>
  <c r="X9" i="13"/>
  <c r="X8" i="13"/>
  <c r="W8" i="13"/>
  <c r="V8" i="15"/>
  <c r="K18" i="15"/>
  <c r="J18" i="15"/>
  <c r="K9" i="15"/>
  <c r="U9" i="15"/>
  <c r="J9" i="15"/>
  <c r="K29" i="15"/>
  <c r="J29" i="15"/>
  <c r="K19" i="15"/>
  <c r="J19" i="15"/>
  <c r="K30" i="15"/>
  <c r="J30" i="15"/>
  <c r="M30" i="13"/>
  <c r="Q30" i="13"/>
  <c r="N30" i="13"/>
  <c r="O30" i="13"/>
  <c r="P30" i="13"/>
  <c r="N29" i="13"/>
  <c r="O29" i="13"/>
  <c r="P29" i="13"/>
  <c r="M29" i="13"/>
  <c r="M19" i="13"/>
  <c r="Q19" i="13"/>
  <c r="N19" i="13"/>
  <c r="O19" i="13"/>
  <c r="P19" i="13"/>
  <c r="N18" i="13"/>
  <c r="O18" i="13"/>
  <c r="P18" i="13"/>
  <c r="M18" i="13"/>
  <c r="M9" i="13"/>
  <c r="Q9" i="13"/>
  <c r="N9" i="13"/>
  <c r="O9" i="13"/>
  <c r="P9" i="13"/>
  <c r="N8" i="13"/>
  <c r="O8" i="13"/>
  <c r="P8" i="13"/>
  <c r="M8" i="13"/>
  <c r="A30" i="13"/>
  <c r="R30" i="13"/>
  <c r="B30" i="13"/>
  <c r="G30" i="13"/>
  <c r="H30" i="13"/>
  <c r="A19" i="13"/>
  <c r="R19" i="13"/>
  <c r="B19" i="13"/>
  <c r="H19" i="13"/>
  <c r="A9" i="13"/>
  <c r="R9" i="13"/>
  <c r="B9" i="13"/>
  <c r="Q8" i="13"/>
  <c r="Q18" i="13"/>
  <c r="Q29" i="13"/>
  <c r="I30" i="13"/>
  <c r="U30" i="15"/>
  <c r="V30" i="15"/>
  <c r="U29" i="15"/>
  <c r="V29" i="15"/>
  <c r="U19" i="15"/>
  <c r="V19" i="15"/>
  <c r="U18" i="15"/>
  <c r="V18" i="15"/>
  <c r="V9" i="15"/>
  <c r="I19" i="13"/>
  <c r="I9" i="13"/>
  <c r="H29" i="13"/>
  <c r="G29" i="13"/>
  <c r="B29" i="13"/>
  <c r="A29" i="13"/>
  <c r="R29" i="13"/>
  <c r="H18" i="13"/>
  <c r="B18" i="13"/>
  <c r="A18" i="13"/>
  <c r="R18" i="13"/>
  <c r="B8" i="13"/>
  <c r="A8" i="13"/>
  <c r="R8" i="13"/>
  <c r="K19" i="13"/>
  <c r="J19" i="13"/>
  <c r="K30" i="13"/>
  <c r="J30" i="13"/>
  <c r="K9" i="13"/>
  <c r="J9" i="13"/>
  <c r="I18" i="13"/>
  <c r="I8" i="13"/>
  <c r="I29" i="13"/>
  <c r="T27" i="11"/>
  <c r="S27" i="11"/>
  <c r="N27" i="11"/>
  <c r="M27" i="11"/>
  <c r="L27" i="11"/>
  <c r="H27" i="11"/>
  <c r="G27" i="11"/>
  <c r="D27" i="11"/>
  <c r="C27" i="11"/>
  <c r="B27" i="11"/>
  <c r="A27" i="11"/>
  <c r="T17" i="11"/>
  <c r="S17" i="11"/>
  <c r="N17" i="11"/>
  <c r="M17" i="11"/>
  <c r="L17" i="11"/>
  <c r="H17" i="11"/>
  <c r="G17" i="11"/>
  <c r="D17" i="11"/>
  <c r="C17" i="11"/>
  <c r="B17" i="11"/>
  <c r="A17" i="11"/>
  <c r="T8" i="11"/>
  <c r="S8" i="11"/>
  <c r="N8" i="11"/>
  <c r="M8" i="11"/>
  <c r="L8" i="11"/>
  <c r="H8" i="11"/>
  <c r="D8" i="11"/>
  <c r="C8" i="11"/>
  <c r="B8" i="11"/>
  <c r="A8" i="11"/>
  <c r="K18" i="13"/>
  <c r="J18" i="13"/>
  <c r="K29" i="13"/>
  <c r="J29" i="13"/>
  <c r="U9" i="13"/>
  <c r="V9" i="13"/>
  <c r="U30" i="13"/>
  <c r="V30" i="13"/>
  <c r="U19" i="13"/>
  <c r="V19" i="13"/>
  <c r="K8" i="13"/>
  <c r="J8" i="13"/>
  <c r="I8" i="11"/>
  <c r="J8" i="11"/>
  <c r="O8" i="11"/>
  <c r="I17" i="11"/>
  <c r="J17" i="11"/>
  <c r="O17" i="11"/>
  <c r="P17" i="11"/>
  <c r="R17" i="11"/>
  <c r="I27" i="11"/>
  <c r="J27" i="11"/>
  <c r="O27" i="11"/>
  <c r="P27" i="11"/>
  <c r="R27" i="11"/>
  <c r="Q8" i="11"/>
  <c r="P8" i="11"/>
  <c r="R8" i="11"/>
  <c r="Q17" i="11"/>
  <c r="T30" i="9"/>
  <c r="S30" i="9"/>
  <c r="N30" i="9"/>
  <c r="M30" i="9"/>
  <c r="L30" i="9"/>
  <c r="H30" i="9"/>
  <c r="G30" i="9"/>
  <c r="D30" i="9"/>
  <c r="C30" i="9"/>
  <c r="B30" i="9"/>
  <c r="A30" i="9"/>
  <c r="T29" i="9"/>
  <c r="S29" i="9"/>
  <c r="N29" i="9"/>
  <c r="M29" i="9"/>
  <c r="L29" i="9"/>
  <c r="H29" i="9"/>
  <c r="G29" i="9"/>
  <c r="D29" i="9"/>
  <c r="C29" i="9"/>
  <c r="B29" i="9"/>
  <c r="A29" i="9"/>
  <c r="T19" i="9"/>
  <c r="S19" i="9"/>
  <c r="N19" i="9"/>
  <c r="M19" i="9"/>
  <c r="L19" i="9"/>
  <c r="H19" i="9"/>
  <c r="C19" i="9"/>
  <c r="D19" i="9"/>
  <c r="B19" i="9"/>
  <c r="A19" i="9"/>
  <c r="T18" i="9"/>
  <c r="S18" i="9"/>
  <c r="N18" i="9"/>
  <c r="M18" i="9"/>
  <c r="L18" i="9"/>
  <c r="H18" i="9"/>
  <c r="G18" i="9"/>
  <c r="D18" i="9"/>
  <c r="C18" i="9"/>
  <c r="B18" i="9"/>
  <c r="A18" i="9"/>
  <c r="T9" i="9"/>
  <c r="S9" i="9"/>
  <c r="N9" i="9"/>
  <c r="M9" i="9"/>
  <c r="L9" i="9"/>
  <c r="D9" i="9"/>
  <c r="C9" i="9"/>
  <c r="B9" i="9"/>
  <c r="A9" i="9"/>
  <c r="T8" i="9"/>
  <c r="S8" i="9"/>
  <c r="N8" i="9"/>
  <c r="M8" i="9"/>
  <c r="L8" i="9"/>
  <c r="H8" i="9"/>
  <c r="D8" i="9"/>
  <c r="C8" i="9"/>
  <c r="B8" i="9"/>
  <c r="A8" i="9"/>
  <c r="T30" i="7"/>
  <c r="S30" i="7"/>
  <c r="N30" i="7"/>
  <c r="M30" i="7"/>
  <c r="L30" i="7"/>
  <c r="H30" i="7"/>
  <c r="G30" i="7"/>
  <c r="D30" i="7"/>
  <c r="C30" i="7"/>
  <c r="B30" i="7"/>
  <c r="A30" i="7"/>
  <c r="T29" i="7"/>
  <c r="S29" i="7"/>
  <c r="N29" i="7"/>
  <c r="M29" i="7"/>
  <c r="L29" i="7"/>
  <c r="H29" i="7"/>
  <c r="G29" i="7"/>
  <c r="D29" i="7"/>
  <c r="C29" i="7"/>
  <c r="B29" i="7"/>
  <c r="A29" i="7"/>
  <c r="T19" i="7"/>
  <c r="S19" i="7"/>
  <c r="N19" i="7"/>
  <c r="M19" i="7"/>
  <c r="L19" i="7"/>
  <c r="H19" i="7"/>
  <c r="C19" i="7"/>
  <c r="D19" i="7"/>
  <c r="B19" i="7"/>
  <c r="A19" i="7"/>
  <c r="T18" i="7"/>
  <c r="S18" i="7"/>
  <c r="N18" i="7"/>
  <c r="M18" i="7"/>
  <c r="L18" i="7"/>
  <c r="H18" i="7"/>
  <c r="G18" i="7"/>
  <c r="D18" i="7"/>
  <c r="C18" i="7"/>
  <c r="B18" i="7"/>
  <c r="A18" i="7"/>
  <c r="T9" i="7"/>
  <c r="S9" i="7"/>
  <c r="N9" i="7"/>
  <c r="M9" i="7"/>
  <c r="L9" i="7"/>
  <c r="D9" i="7"/>
  <c r="C9" i="7"/>
  <c r="B9" i="7"/>
  <c r="A9" i="7"/>
  <c r="T8" i="7"/>
  <c r="S8" i="7"/>
  <c r="N8" i="7"/>
  <c r="M8" i="7"/>
  <c r="L8" i="7"/>
  <c r="H8" i="7"/>
  <c r="D8" i="7"/>
  <c r="C8" i="7"/>
  <c r="B8" i="7"/>
  <c r="A8" i="7"/>
  <c r="C30" i="2"/>
  <c r="D30" i="2"/>
  <c r="G30" i="2"/>
  <c r="H30" i="2"/>
  <c r="L30" i="2"/>
  <c r="M30" i="2"/>
  <c r="C29" i="2"/>
  <c r="D29" i="2"/>
  <c r="G29" i="2"/>
  <c r="H29" i="2"/>
  <c r="M29" i="2"/>
  <c r="C19" i="2"/>
  <c r="D19" i="2"/>
  <c r="H19" i="2"/>
  <c r="L19" i="2"/>
  <c r="M19" i="2"/>
  <c r="C18" i="2"/>
  <c r="D18" i="2"/>
  <c r="G18" i="2"/>
  <c r="H18" i="2"/>
  <c r="M18" i="2"/>
  <c r="C9" i="2"/>
  <c r="I9" i="2"/>
  <c r="J9" i="2"/>
  <c r="D9" i="2"/>
  <c r="L9" i="2"/>
  <c r="M9" i="2"/>
  <c r="C8" i="2"/>
  <c r="D8" i="2"/>
  <c r="H8" i="2"/>
  <c r="M8" i="2"/>
  <c r="N30" i="2"/>
  <c r="S30" i="2"/>
  <c r="T30" i="2"/>
  <c r="T29" i="2"/>
  <c r="S29" i="2"/>
  <c r="N29" i="2"/>
  <c r="L29" i="2"/>
  <c r="A30" i="2"/>
  <c r="B30" i="2"/>
  <c r="B29" i="2"/>
  <c r="A29" i="2"/>
  <c r="A19" i="2"/>
  <c r="B19" i="2"/>
  <c r="B18" i="2"/>
  <c r="A18" i="2"/>
  <c r="S19" i="2"/>
  <c r="T19" i="2"/>
  <c r="T18" i="2"/>
  <c r="S18" i="2"/>
  <c r="N19" i="2"/>
  <c r="N18" i="2"/>
  <c r="L18" i="2"/>
  <c r="S9" i="2"/>
  <c r="T9" i="2"/>
  <c r="T8" i="2"/>
  <c r="S8" i="2"/>
  <c r="N9" i="2"/>
  <c r="N8" i="2"/>
  <c r="L8" i="2"/>
  <c r="A9" i="2"/>
  <c r="B9" i="2"/>
  <c r="B8" i="2"/>
  <c r="A8" i="2"/>
  <c r="T30" i="5"/>
  <c r="S30" i="5"/>
  <c r="N30" i="5"/>
  <c r="M30" i="5"/>
  <c r="L30" i="5"/>
  <c r="H30" i="5"/>
  <c r="G30" i="5"/>
  <c r="D30" i="5"/>
  <c r="C30" i="5"/>
  <c r="B30" i="5"/>
  <c r="A30" i="5"/>
  <c r="T29" i="5"/>
  <c r="S29" i="5"/>
  <c r="N29" i="5"/>
  <c r="M29" i="5"/>
  <c r="L29" i="5"/>
  <c r="H29" i="5"/>
  <c r="G29" i="5"/>
  <c r="D29" i="5"/>
  <c r="C29" i="5"/>
  <c r="B29" i="5"/>
  <c r="A29" i="5"/>
  <c r="T19" i="5"/>
  <c r="S19" i="5"/>
  <c r="N19" i="5"/>
  <c r="M19" i="5"/>
  <c r="L19" i="5"/>
  <c r="H19" i="5"/>
  <c r="C19" i="5"/>
  <c r="D19" i="5"/>
  <c r="B19" i="5"/>
  <c r="A19" i="5"/>
  <c r="T18" i="5"/>
  <c r="S18" i="5"/>
  <c r="N18" i="5"/>
  <c r="M18" i="5"/>
  <c r="L18" i="5"/>
  <c r="H18" i="5"/>
  <c r="G18" i="5"/>
  <c r="D18" i="5"/>
  <c r="C18" i="5"/>
  <c r="B18" i="5"/>
  <c r="A18" i="5"/>
  <c r="T9" i="5"/>
  <c r="S9" i="5"/>
  <c r="N9" i="5"/>
  <c r="M9" i="5"/>
  <c r="L9" i="5"/>
  <c r="D9" i="5"/>
  <c r="C9" i="5"/>
  <c r="B9" i="5"/>
  <c r="A9" i="5"/>
  <c r="T8" i="5"/>
  <c r="S8" i="5"/>
  <c r="N8" i="5"/>
  <c r="M8" i="5"/>
  <c r="L8" i="5"/>
  <c r="H8" i="5"/>
  <c r="D8" i="5"/>
  <c r="C8" i="5"/>
  <c r="B8" i="5"/>
  <c r="A8" i="5"/>
  <c r="U8" i="13"/>
  <c r="V8" i="13"/>
  <c r="U29" i="13"/>
  <c r="V29" i="13"/>
  <c r="V18" i="13"/>
  <c r="U18" i="13"/>
  <c r="I9" i="9"/>
  <c r="J9" i="9"/>
  <c r="O9" i="9"/>
  <c r="I8" i="2"/>
  <c r="J8" i="2"/>
  <c r="O8" i="2"/>
  <c r="I18" i="9"/>
  <c r="J18" i="9"/>
  <c r="O18" i="9"/>
  <c r="I29" i="9"/>
  <c r="J29" i="9"/>
  <c r="O29" i="9"/>
  <c r="O9" i="2"/>
  <c r="I18" i="2"/>
  <c r="J18" i="2"/>
  <c r="O18" i="2"/>
  <c r="P18" i="2"/>
  <c r="R18" i="2"/>
  <c r="I8" i="7"/>
  <c r="J8" i="7"/>
  <c r="O8" i="7"/>
  <c r="Q27" i="11"/>
  <c r="I9" i="5"/>
  <c r="J9" i="5"/>
  <c r="O9" i="5"/>
  <c r="I19" i="5"/>
  <c r="J19" i="5"/>
  <c r="O19" i="5"/>
  <c r="P19" i="5"/>
  <c r="R19" i="5"/>
  <c r="I29" i="5"/>
  <c r="J29" i="5"/>
  <c r="O29" i="5"/>
  <c r="I30" i="5"/>
  <c r="J30" i="5"/>
  <c r="O30" i="5"/>
  <c r="I19" i="2"/>
  <c r="J19" i="2"/>
  <c r="O19" i="2"/>
  <c r="I18" i="7"/>
  <c r="J18" i="7"/>
  <c r="O18" i="7"/>
  <c r="P18" i="7"/>
  <c r="R18" i="7"/>
  <c r="I8" i="9"/>
  <c r="J8" i="9"/>
  <c r="O8" i="9"/>
  <c r="I8" i="5"/>
  <c r="J8" i="5"/>
  <c r="O8" i="5"/>
  <c r="I29" i="2"/>
  <c r="J29" i="2"/>
  <c r="O29" i="2"/>
  <c r="I18" i="5"/>
  <c r="J18" i="5"/>
  <c r="O18" i="5"/>
  <c r="P18" i="5"/>
  <c r="R18" i="5"/>
  <c r="I30" i="2"/>
  <c r="J30" i="2"/>
  <c r="O30" i="2"/>
  <c r="I9" i="7"/>
  <c r="J9" i="7"/>
  <c r="O9" i="7"/>
  <c r="I19" i="7"/>
  <c r="J19" i="7"/>
  <c r="O19" i="7"/>
  <c r="P19" i="7"/>
  <c r="R19" i="7"/>
  <c r="I29" i="7"/>
  <c r="J29" i="7"/>
  <c r="O29" i="7"/>
  <c r="Q29" i="7"/>
  <c r="I30" i="7"/>
  <c r="J30" i="7"/>
  <c r="O30" i="7"/>
  <c r="I19" i="9"/>
  <c r="J19" i="9"/>
  <c r="O19" i="9"/>
  <c r="I30" i="9"/>
  <c r="J30" i="9"/>
  <c r="O30" i="9"/>
  <c r="Q30" i="9"/>
  <c r="P9" i="9"/>
  <c r="R9" i="9"/>
  <c r="Q9" i="9"/>
  <c r="P8" i="2"/>
  <c r="R8" i="2"/>
  <c r="Q8" i="2"/>
  <c r="Q18" i="2"/>
  <c r="P8" i="7"/>
  <c r="R8" i="7"/>
  <c r="Q8" i="7"/>
  <c r="Q18" i="9"/>
  <c r="P18" i="9"/>
  <c r="R18" i="9"/>
  <c r="Q9" i="5"/>
  <c r="P9" i="5"/>
  <c r="R9" i="5"/>
  <c r="Q19" i="5"/>
  <c r="Q29" i="5"/>
  <c r="P29" i="5"/>
  <c r="R29" i="5"/>
  <c r="P30" i="5"/>
  <c r="R30" i="5"/>
  <c r="Q30" i="5"/>
  <c r="P19" i="2"/>
  <c r="R19" i="2"/>
  <c r="Q19" i="2"/>
  <c r="Q18" i="7"/>
  <c r="Q29" i="9"/>
  <c r="P29" i="9"/>
  <c r="R29" i="9"/>
  <c r="P8" i="9"/>
  <c r="R8" i="9"/>
  <c r="Q8" i="9"/>
  <c r="Q8" i="5"/>
  <c r="P8" i="5"/>
  <c r="R8" i="5"/>
  <c r="P9" i="2"/>
  <c r="R9" i="2"/>
  <c r="Q9" i="2"/>
  <c r="Q29" i="2"/>
  <c r="P29" i="2"/>
  <c r="R29" i="2"/>
  <c r="Q18" i="5"/>
  <c r="P30" i="2"/>
  <c r="R30" i="2"/>
  <c r="Q30" i="2"/>
  <c r="P9" i="7"/>
  <c r="R9" i="7"/>
  <c r="Q9" i="7"/>
  <c r="Q19" i="7"/>
  <c r="P29" i="7"/>
  <c r="R29" i="7"/>
  <c r="P30" i="7"/>
  <c r="R30" i="7"/>
  <c r="Q30" i="7"/>
  <c r="Q19" i="9"/>
  <c r="P19" i="9"/>
  <c r="R19" i="9"/>
  <c r="P30" i="9"/>
  <c r="R30" i="9"/>
  <c r="T8" i="27" l="1"/>
  <c r="V8" i="27" s="1"/>
  <c r="U37" i="23"/>
  <c r="T37" i="23"/>
  <c r="V37" i="23" s="1"/>
  <c r="U38" i="23"/>
  <c r="T38" i="23"/>
  <c r="V38" i="23" s="1"/>
  <c r="U11" i="23"/>
  <c r="T11" i="23"/>
  <c r="V11" i="23" s="1"/>
  <c r="U22" i="23"/>
  <c r="T10" i="23"/>
  <c r="V10" i="23" s="1"/>
  <c r="U34" i="23"/>
  <c r="T9" i="23"/>
  <c r="V9" i="23" s="1"/>
  <c r="U8" i="23"/>
  <c r="T8" i="23"/>
  <c r="V8" i="23" s="1"/>
  <c r="T19" i="20"/>
  <c r="V19" i="20" s="1"/>
  <c r="U19" i="20"/>
  <c r="U8" i="20"/>
  <c r="T8" i="20"/>
  <c r="V8" i="20" s="1"/>
  <c r="U31" i="20"/>
  <c r="T31" i="20"/>
  <c r="V31" i="20" s="1"/>
  <c r="U10" i="19"/>
  <c r="T10" i="19"/>
  <c r="V10" i="19" s="1"/>
  <c r="J8" i="19"/>
  <c r="L8" i="19"/>
  <c r="S8" i="19"/>
  <c r="U8" i="19" s="1"/>
  <c r="S20" i="19"/>
  <c r="U20" i="19" s="1"/>
  <c r="S32" i="19"/>
  <c r="T32" i="19" s="1"/>
  <c r="V32" i="19" s="1"/>
  <c r="S9" i="19"/>
  <c r="S19" i="19"/>
  <c r="S31" i="19"/>
  <c r="T8" i="19" l="1"/>
  <c r="V8" i="19" s="1"/>
  <c r="U32" i="19"/>
  <c r="T20" i="19"/>
  <c r="V20" i="19" s="1"/>
  <c r="U9" i="19"/>
  <c r="T9" i="19"/>
  <c r="V9" i="19" s="1"/>
  <c r="T19" i="19"/>
  <c r="V19" i="19" s="1"/>
  <c r="U19" i="19"/>
  <c r="T31" i="19"/>
  <c r="V31" i="19" s="1"/>
  <c r="U3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1" authorId="0" shapeId="0" xr:uid="{C51A82E6-32DD-CF4B-B828-E365707EED9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5" authorId="0" shapeId="0" xr:uid="{53703688-0FC6-B94F-BD1D-50AFB9BF79CF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2" authorId="0" shapeId="0" xr:uid="{6B5A4C9E-FC05-354D-86FF-09D91A9AC202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8" authorId="0" shapeId="0" xr:uid="{A0A8D1DD-6914-CB41-8278-53726355944F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2" authorId="0" shapeId="0" xr:uid="{1A824813-BE8C-9C44-B2B4-8A919CEABCF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7" authorId="0" shapeId="0" xr:uid="{542D1498-F385-EE41-807C-0A3A95237981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>Includes membership fee</t>
        </r>
        <r>
          <rPr>
            <sz val="10"/>
            <color rgb="FF000000"/>
            <rFont val="Verdan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P1" authorId="0" shapeId="0" xr:uid="{5DBA46E0-806A-904B-B5EF-9EA3A47DCF28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C9C92067-D840-E342-9621-5543C1C27AE0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C4ABEF56-0898-CE49-B7A7-46FD005CA1EA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FDB8322F-E9DD-C844-864C-FAB6431942CE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421D9DEC-04B8-4C49-B2A0-7465A21CEA57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sharedStrings.xml><?xml version="1.0" encoding="utf-8"?>
<sst xmlns="http://schemas.openxmlformats.org/spreadsheetml/2006/main" count="3598" uniqueCount="321">
  <si>
    <t xml:space="preserve">Alviss Consulting Pty Ltd does not accept liability for any action taken based on the information provided in this workbook or for any loss, </t>
    <phoneticPr fontId="0" type="noConversion"/>
  </si>
  <si>
    <t xml:space="preserve">economic or otherwise, suffered as a result of reliance on the information presented in this workbook.  </t>
    <phoneticPr fontId="0" type="noConversion"/>
  </si>
  <si>
    <t>This workbook contains:</t>
  </si>
  <si>
    <t>If you would like to obtain information about energy offers available to you as a customer, go to AER’s "Energy Made Easy" website</t>
    <phoneticPr fontId="2" type="noConversion"/>
  </si>
  <si>
    <t>www.energymadeeasy.gov.au or contact the energy retailers directly.</t>
    <phoneticPr fontId="2" type="noConversion"/>
  </si>
  <si>
    <t xml:space="preserve">*Analysis of bills (consumption level/pattern variable) </t>
    <phoneticPr fontId="2" type="noConversion"/>
  </si>
  <si>
    <t xml:space="preserve">*The spreadsheets are interactive where the user can adjust quarterly consumption (kWh) and peak/off peak  </t>
    <phoneticPr fontId="2" type="noConversion"/>
  </si>
  <si>
    <t>proportions (%). All red cells contain variables for the user to insert</t>
    <phoneticPr fontId="2" type="noConversion"/>
  </si>
  <si>
    <t>Dual fuel condition? (y/n)</t>
    <phoneticPr fontId="2" type="noConversion"/>
  </si>
  <si>
    <t>Split week tariff: Shoulder - weekends (c/kWh)</t>
    <phoneticPr fontId="2" type="noConversion"/>
  </si>
  <si>
    <t>Seasonal: Peak season shoulder rate (c/kWh)</t>
    <phoneticPr fontId="2" type="noConversion"/>
  </si>
  <si>
    <t>Comments</t>
    <phoneticPr fontId="2" type="noConversion"/>
  </si>
  <si>
    <t>Other incentives</t>
    <phoneticPr fontId="2" type="noConversion"/>
  </si>
  <si>
    <t>Single rate</t>
  </si>
  <si>
    <t xml:space="preserve">relied upon. The workbook is not an appropriate substitute for obtaining an offer from an energy retailer.  The information presented </t>
  </si>
  <si>
    <t>The main purpose of this workbook is to provide consumer advocates with a tool to track and analyse</t>
  </si>
  <si>
    <t xml:space="preserve">in the workbook is not provided as financial advice. While we have taken great care to ensure accuracy of the information provided in this </t>
  </si>
  <si>
    <t>DB Zone</t>
    <phoneticPr fontId="2" type="noConversion"/>
  </si>
  <si>
    <t>Meter type</t>
    <phoneticPr fontId="2" type="noConversion"/>
  </si>
  <si>
    <t>Effective from</t>
    <phoneticPr fontId="2" type="noConversion"/>
  </si>
  <si>
    <t>Solar (y/n)</t>
    <phoneticPr fontId="2" type="noConversion"/>
  </si>
  <si>
    <t>Insert off-peak proportion (%):</t>
    <phoneticPr fontId="2" type="noConversion"/>
  </si>
  <si>
    <t>Insert quarterly consumption (kWh):</t>
    <phoneticPr fontId="2" type="noConversion"/>
  </si>
  <si>
    <t>Insert peak proportion (%):</t>
    <phoneticPr fontId="2" type="noConversion"/>
  </si>
  <si>
    <t>Insert shoulder proportion (%):</t>
    <phoneticPr fontId="2" type="noConversion"/>
  </si>
  <si>
    <t>Annual bill incl guaranteed discounts (incl GST)</t>
    <phoneticPr fontId="2" type="noConversion"/>
  </si>
  <si>
    <t>Annual bill incl conditional discounts (incl GST)</t>
    <phoneticPr fontId="2" type="noConversion"/>
  </si>
  <si>
    <t>Supply charge</t>
    <phoneticPr fontId="2" type="noConversion"/>
  </si>
  <si>
    <t>Single</t>
    <phoneticPr fontId="2" type="noConversion"/>
  </si>
  <si>
    <t>ERM Power</t>
    <phoneticPr fontId="2" type="noConversion"/>
  </si>
  <si>
    <t>Adjustable</t>
    <phoneticPr fontId="2" type="noConversion"/>
  </si>
  <si>
    <t>Controlled</t>
    <phoneticPr fontId="2" type="noConversion"/>
  </si>
  <si>
    <t>Tas-Controlled 1</t>
    <phoneticPr fontId="2" type="noConversion"/>
  </si>
  <si>
    <t>TOU</t>
    <phoneticPr fontId="2" type="noConversion"/>
  </si>
  <si>
    <t>Tas-TOU</t>
    <phoneticPr fontId="2" type="noConversion"/>
  </si>
  <si>
    <t>Retailer</t>
    <phoneticPr fontId="2" type="noConversion"/>
  </si>
  <si>
    <t>Offer</t>
    <phoneticPr fontId="2" type="noConversion"/>
  </si>
  <si>
    <t>*As SME electricity offers currently depend on the type of metering installed at the premises,</t>
    <phoneticPr fontId="2" type="noConversion"/>
  </si>
  <si>
    <t>this analysis include the three most common electricity offers based on meter type:</t>
  </si>
  <si>
    <t xml:space="preserve">1) Single rate (also known as flat rate). </t>
    <phoneticPr fontId="2" type="noConversion"/>
  </si>
  <si>
    <t>3) Time of Use (TOU). Three part tariff with peak, shoulder and off-peak rates.</t>
    <phoneticPr fontId="2" type="noConversion"/>
  </si>
  <si>
    <t>*All supply charges published as quarterly charges have been divided by 91 days.</t>
  </si>
  <si>
    <t>*All daily inclining block thresholds have been multiplied by 91 to calculate quarterly bills.</t>
    <phoneticPr fontId="2" type="noConversion"/>
  </si>
  <si>
    <t>TAS Workbook 1 - Electricity offers</t>
    <phoneticPr fontId="2" type="noConversion"/>
  </si>
  <si>
    <t xml:space="preserve">changes to SME energy offers in the Tasmania.  </t>
    <phoneticPr fontId="2" type="noConversion"/>
  </si>
  <si>
    <t>2) Controlled load (also known as dedicated circuit). Typically used for hot water and heating.</t>
    <phoneticPr fontId="2" type="noConversion"/>
  </si>
  <si>
    <t>TAS Retailers:</t>
    <phoneticPr fontId="2" type="noConversion"/>
  </si>
  <si>
    <t xml:space="preserve">workbook, it is suitable for use only as a research and advocacy tool. We do not accept any legal responsibility for errors or inaccuracies. </t>
  </si>
  <si>
    <t>TASMANIA, TasNetworks</t>
    <phoneticPr fontId="2" type="noConversion"/>
  </si>
  <si>
    <t>Cont' off peak 1st step (kWh)</t>
    <phoneticPr fontId="2" type="noConversion"/>
  </si>
  <si>
    <t>Cont' off peak 2nd rate</t>
    <phoneticPr fontId="2" type="noConversion"/>
  </si>
  <si>
    <t>Shoulder (c/kWh)</t>
    <phoneticPr fontId="2" type="noConversion"/>
  </si>
  <si>
    <t>Split week tariff: Shoulder - weekdays (c/kWh)</t>
    <phoneticPr fontId="2" type="noConversion"/>
  </si>
  <si>
    <t>Approx. incentive value ($)</t>
    <phoneticPr fontId="2" type="noConversion"/>
  </si>
  <si>
    <t>Dual Fuel discount off usage (%)</t>
    <phoneticPr fontId="2" type="noConversion"/>
  </si>
  <si>
    <t>Contract length (months)</t>
    <phoneticPr fontId="2" type="noConversion"/>
  </si>
  <si>
    <t>ETF (Y/N)</t>
    <phoneticPr fontId="2" type="noConversion"/>
  </si>
  <si>
    <t>Limited benefit period? (months)</t>
    <phoneticPr fontId="2" type="noConversion"/>
  </si>
  <si>
    <t>Other Direct Debit Incentive (y/n)</t>
    <phoneticPr fontId="2" type="noConversion"/>
  </si>
  <si>
    <t>Service fee ($ per month)</t>
    <phoneticPr fontId="2" type="noConversion"/>
  </si>
  <si>
    <t>Incentive type</t>
    <phoneticPr fontId="2" type="noConversion"/>
  </si>
  <si>
    <t>Annual bill (excl GST)</t>
  </si>
  <si>
    <t>Guaranteed discount off bill (%)</t>
  </si>
  <si>
    <t>Guaranteed discount off usage (%)</t>
  </si>
  <si>
    <t>POT discount off bill (%)</t>
  </si>
  <si>
    <t>POT discount off usage (%)</t>
  </si>
  <si>
    <t>Annual bill incl guaranteed discounts</t>
  </si>
  <si>
    <t>Annual bill incl conditional discounts</t>
  </si>
  <si>
    <t>Contract length (months)</t>
  </si>
  <si>
    <t>TOU</t>
    <phoneticPr fontId="2" type="noConversion"/>
  </si>
  <si>
    <t>y</t>
    <phoneticPr fontId="2" type="noConversion"/>
  </si>
  <si>
    <t>o</t>
    <phoneticPr fontId="2" type="noConversion"/>
  </si>
  <si>
    <t>Solar meter fee (c/day)</t>
  </si>
  <si>
    <t>Retailer</t>
  </si>
  <si>
    <t>Name</t>
    <phoneticPr fontId="2" type="noConversion"/>
  </si>
  <si>
    <t>Supply (c/day)</t>
  </si>
  <si>
    <t>Single or peak rate (c/kWh)</t>
    <phoneticPr fontId="2" type="noConversion"/>
  </si>
  <si>
    <t>block type</t>
  </si>
  <si>
    <t>Peak 1st step (kWh)</t>
    <phoneticPr fontId="2" type="noConversion"/>
  </si>
  <si>
    <t>Insert quarterly consumption (kWh):</t>
  </si>
  <si>
    <t>Offer</t>
  </si>
  <si>
    <t>Supply charge</t>
  </si>
  <si>
    <t>1st block</t>
  </si>
  <si>
    <t>2nd block</t>
  </si>
  <si>
    <t>3rd block</t>
  </si>
  <si>
    <t>4th block</t>
  </si>
  <si>
    <t>Peak balance</t>
  </si>
  <si>
    <t>Quarterly bill</t>
  </si>
  <si>
    <t>Summer or winter peak (s/w)</t>
    <phoneticPr fontId="2" type="noConversion"/>
  </si>
  <si>
    <t>Number of peak months</t>
    <phoneticPr fontId="2" type="noConversion"/>
  </si>
  <si>
    <t>solar (net/gross)</t>
  </si>
  <si>
    <t>FIT (c/kWh)</t>
    <phoneticPr fontId="2" type="noConversion"/>
  </si>
  <si>
    <t>Green (y/n/o)</t>
    <phoneticPr fontId="2" type="noConversion"/>
  </si>
  <si>
    <t>Green note</t>
    <phoneticPr fontId="2" type="noConversion"/>
  </si>
  <si>
    <t>Guaranteed discount off bill (%)</t>
    <phoneticPr fontId="2" type="noConversion"/>
  </si>
  <si>
    <t>Exit fee (yes/no)</t>
  </si>
  <si>
    <t>Controlled load</t>
  </si>
  <si>
    <t>Insert peak proportion (%):</t>
  </si>
  <si>
    <t>Seasonal: Off-peak/ Off-peak rate (c/kWh)</t>
    <phoneticPr fontId="2" type="noConversion"/>
  </si>
  <si>
    <t>Cont' off peak</t>
    <phoneticPr fontId="2" type="noConversion"/>
  </si>
  <si>
    <t>Restricted eligibility? (n/so/nso)</t>
    <phoneticPr fontId="2" type="noConversion"/>
  </si>
  <si>
    <t>SME Tariff-Tracker</t>
    <phoneticPr fontId="2" type="noConversion"/>
  </si>
  <si>
    <t>DISCLAIMER:</t>
  </si>
  <si>
    <t xml:space="preserve">The energy offers, tariffs and bill calculations presented in this workbook should be used as a general guide only and should not be </t>
  </si>
  <si>
    <t>Aurora Energy</t>
    <phoneticPr fontId="2" type="noConversion"/>
  </si>
  <si>
    <t>quarter</t>
    <phoneticPr fontId="2" type="noConversion"/>
  </si>
  <si>
    <t>Tas-Single</t>
    <phoneticPr fontId="2" type="noConversion"/>
  </si>
  <si>
    <t>net</t>
    <phoneticPr fontId="2" type="noConversion"/>
  </si>
  <si>
    <t>TAS</t>
    <phoneticPr fontId="2" type="noConversion"/>
  </si>
  <si>
    <t>Aurora</t>
    <phoneticPr fontId="2" type="noConversion"/>
  </si>
  <si>
    <t>Seasonal: Off peak season shoulder rate (c/kWh)</t>
    <phoneticPr fontId="2" type="noConversion"/>
  </si>
  <si>
    <t>Peak or single Capacity charge  (c/kVA/day)</t>
    <phoneticPr fontId="2" type="noConversion"/>
  </si>
  <si>
    <t>Shoulder Capacity charge  (c/kVA/day)</t>
    <phoneticPr fontId="2" type="noConversion"/>
  </si>
  <si>
    <t>Off-peak Capacity charge  (c/kVA/day)</t>
    <phoneticPr fontId="2" type="noConversion"/>
  </si>
  <si>
    <t>Time structure Code</t>
    <phoneticPr fontId="2" type="noConversion"/>
  </si>
  <si>
    <t>Seasonal? (y/n)</t>
    <phoneticPr fontId="2" type="noConversion"/>
  </si>
  <si>
    <t>Peak 2nd rate (c/kWh)</t>
    <phoneticPr fontId="2" type="noConversion"/>
  </si>
  <si>
    <t>Peak 2nd step (kWh)</t>
    <phoneticPr fontId="2" type="noConversion"/>
  </si>
  <si>
    <t>Peak 3rd rate (c/kWh)</t>
    <phoneticPr fontId="2" type="noConversion"/>
  </si>
  <si>
    <t>Peak 3rd step (kWh)</t>
    <phoneticPr fontId="2" type="noConversion"/>
  </si>
  <si>
    <t>Peak 4th rate (c/kWh)</t>
    <phoneticPr fontId="2" type="noConversion"/>
  </si>
  <si>
    <t>Seasonal: peak/ off-peak rate (c/kWh)</t>
    <phoneticPr fontId="2" type="noConversion"/>
  </si>
  <si>
    <t>Off-peak rate (c/kWh)</t>
    <phoneticPr fontId="2" type="noConversion"/>
  </si>
  <si>
    <t>Guaranteed discount off usage (%)</t>
    <phoneticPr fontId="2" type="noConversion"/>
  </si>
  <si>
    <t>POT discount off bill (%)</t>
    <phoneticPr fontId="2" type="noConversion"/>
  </si>
  <si>
    <t>POT discount off usage (%)</t>
    <phoneticPr fontId="2" type="noConversion"/>
  </si>
  <si>
    <t>ID</t>
  </si>
  <si>
    <t>Timestamp</t>
    <phoneticPr fontId="2" type="noConversion"/>
  </si>
  <si>
    <t>State</t>
    <phoneticPr fontId="2" type="noConversion"/>
  </si>
  <si>
    <t>DB</t>
    <phoneticPr fontId="2" type="noConversion"/>
  </si>
  <si>
    <t>quarter</t>
    <phoneticPr fontId="7" type="noConversion"/>
  </si>
  <si>
    <t>Regulated offer</t>
  </si>
  <si>
    <t>Tab colors:</t>
  </si>
  <si>
    <t>April</t>
  </si>
  <si>
    <t>Source: www.tasnetworks.com.au</t>
  </si>
  <si>
    <t>DD discount off bill (%)</t>
    <phoneticPr fontId="2" type="noConversion"/>
  </si>
  <si>
    <t>DD discount off usage (%)</t>
    <phoneticPr fontId="2" type="noConversion"/>
  </si>
  <si>
    <t>E-bill discount off bill (%)</t>
    <phoneticPr fontId="2" type="noConversion"/>
  </si>
  <si>
    <t>E-bill discount off usage (%)</t>
    <phoneticPr fontId="2" type="noConversion"/>
  </si>
  <si>
    <t>Dual Fuel discount off bill (%)</t>
    <phoneticPr fontId="2" type="noConversion"/>
  </si>
  <si>
    <t>Off peak 1st step (kWh)</t>
    <phoneticPr fontId="2" type="noConversion"/>
  </si>
  <si>
    <t>Off peak 2nd rate (c/kWh)</t>
    <phoneticPr fontId="2" type="noConversion"/>
  </si>
  <si>
    <t>Off peak 2nd step (kWh)</t>
    <phoneticPr fontId="2" type="noConversion"/>
  </si>
  <si>
    <t>Off peak 3rd rate (c/kWh)</t>
    <phoneticPr fontId="2" type="noConversion"/>
  </si>
  <si>
    <t>Off peak 3rd step (kWh)</t>
    <phoneticPr fontId="2" type="noConversion"/>
  </si>
  <si>
    <t>Off peak 4th rate (c/kWh)</t>
    <phoneticPr fontId="2" type="noConversion"/>
  </si>
  <si>
    <t>Seasonal tariff with non-seasonal off-peak rate (c/kWh)</t>
    <phoneticPr fontId="2" type="noConversion"/>
  </si>
  <si>
    <t>n</t>
    <phoneticPr fontId="2" type="noConversion"/>
  </si>
  <si>
    <t>Insert controlled off-peak proportion (%):</t>
  </si>
  <si>
    <t>Small Business Electricity Offers</t>
    <phoneticPr fontId="2" type="noConversion"/>
  </si>
  <si>
    <t>TAS</t>
    <phoneticPr fontId="2" type="noConversion"/>
  </si>
  <si>
    <t>Aurora</t>
    <phoneticPr fontId="2" type="noConversion"/>
  </si>
  <si>
    <t>Single</t>
    <phoneticPr fontId="2" type="noConversion"/>
  </si>
  <si>
    <t>1st block</t>
    <phoneticPr fontId="2" type="noConversion"/>
  </si>
  <si>
    <t>Peak balance</t>
    <phoneticPr fontId="2" type="noConversion"/>
  </si>
  <si>
    <t>Shoulder</t>
    <phoneticPr fontId="2" type="noConversion"/>
  </si>
  <si>
    <t>Off-Peak</t>
    <phoneticPr fontId="2" type="noConversion"/>
  </si>
  <si>
    <t>Annual bill (excl GST)</t>
    <phoneticPr fontId="2" type="noConversion"/>
  </si>
  <si>
    <t>Annual bill incl guaranteed discounts</t>
    <phoneticPr fontId="2" type="noConversion"/>
  </si>
  <si>
    <t>Annual bill incl conditional discounts</t>
    <phoneticPr fontId="2" type="noConversion"/>
  </si>
  <si>
    <t>Exit fee (yes/no)</t>
    <phoneticPr fontId="2" type="noConversion"/>
  </si>
  <si>
    <t>October</t>
  </si>
  <si>
    <t>TAS</t>
    <phoneticPr fontId="8" type="noConversion"/>
  </si>
  <si>
    <t>Controlled</t>
    <phoneticPr fontId="8" type="noConversion"/>
  </si>
  <si>
    <t>y</t>
    <phoneticPr fontId="8" type="noConversion"/>
  </si>
  <si>
    <t>n</t>
    <phoneticPr fontId="8" type="noConversion"/>
  </si>
  <si>
    <t>Aurora Energy</t>
    <phoneticPr fontId="8" type="noConversion"/>
  </si>
  <si>
    <t>Regulated</t>
    <phoneticPr fontId="8" type="noConversion"/>
  </si>
  <si>
    <t>quarter</t>
    <phoneticPr fontId="8" type="noConversion"/>
  </si>
  <si>
    <t>Tas-Controlled 1</t>
    <phoneticPr fontId="8" type="noConversion"/>
  </si>
  <si>
    <t>net</t>
    <phoneticPr fontId="8" type="noConversion"/>
  </si>
  <si>
    <t>o</t>
    <phoneticPr fontId="8" type="noConversion"/>
  </si>
  <si>
    <t>DD discount of 5 cents/day</t>
  </si>
  <si>
    <t>Account credit</t>
  </si>
  <si>
    <t>TOU</t>
    <phoneticPr fontId="8" type="noConversion"/>
  </si>
  <si>
    <t>Tas-TOU</t>
    <phoneticPr fontId="8" type="noConversion"/>
  </si>
  <si>
    <t>net</t>
    <phoneticPr fontId="8" type="noConversion"/>
  </si>
  <si>
    <t>Single</t>
    <phoneticPr fontId="8" type="noConversion"/>
  </si>
  <si>
    <t>Tas-Single</t>
    <phoneticPr fontId="8" type="noConversion"/>
  </si>
  <si>
    <t>Tasnetworks</t>
  </si>
  <si>
    <t>Aurora</t>
    <phoneticPr fontId="8" type="noConversion"/>
  </si>
  <si>
    <t>Single</t>
    <phoneticPr fontId="8" type="noConversion"/>
  </si>
  <si>
    <t>ERM Power</t>
    <phoneticPr fontId="8" type="noConversion"/>
  </si>
  <si>
    <t>Adjustable</t>
    <phoneticPr fontId="8" type="noConversion"/>
  </si>
  <si>
    <t>net</t>
    <phoneticPr fontId="8" type="noConversion"/>
  </si>
  <si>
    <t>n</t>
    <phoneticPr fontId="8" type="noConversion"/>
  </si>
  <si>
    <t>TAS</t>
    <phoneticPr fontId="7" type="noConversion"/>
  </si>
  <si>
    <t>Single</t>
    <phoneticPr fontId="7" type="noConversion"/>
  </si>
  <si>
    <t>y</t>
    <phoneticPr fontId="7" type="noConversion"/>
  </si>
  <si>
    <t>n</t>
    <phoneticPr fontId="7" type="noConversion"/>
  </si>
  <si>
    <t>Aurora Energy</t>
    <phoneticPr fontId="7" type="noConversion"/>
  </si>
  <si>
    <t>Regulated</t>
    <phoneticPr fontId="7" type="noConversion"/>
  </si>
  <si>
    <t>Tas-Single</t>
    <phoneticPr fontId="7" type="noConversion"/>
  </si>
  <si>
    <t>net</t>
    <phoneticPr fontId="7" type="noConversion"/>
  </si>
  <si>
    <t>o</t>
    <phoneticPr fontId="7" type="noConversion"/>
  </si>
  <si>
    <t>Controlled</t>
    <phoneticPr fontId="7" type="noConversion"/>
  </si>
  <si>
    <t>Tas-Controlled 1</t>
    <phoneticPr fontId="7" type="noConversion"/>
  </si>
  <si>
    <t>TOU</t>
    <phoneticPr fontId="7" type="noConversion"/>
  </si>
  <si>
    <t>Tas-TOU</t>
    <phoneticPr fontId="7" type="noConversion"/>
  </si>
  <si>
    <t>ERM Power</t>
    <phoneticPr fontId="7" type="noConversion"/>
  </si>
  <si>
    <t>Adjustable</t>
    <phoneticPr fontId="7" type="noConversion"/>
  </si>
  <si>
    <t>Aurora</t>
    <phoneticPr fontId="7" type="noConversion"/>
  </si>
  <si>
    <t>TAS</t>
    <phoneticPr fontId="9" type="noConversion"/>
  </si>
  <si>
    <t>TasNetworks</t>
  </si>
  <si>
    <t>Single</t>
    <phoneticPr fontId="9" type="noConversion"/>
  </si>
  <si>
    <t>y</t>
    <phoneticPr fontId="9" type="noConversion"/>
  </si>
  <si>
    <t>n</t>
    <phoneticPr fontId="9" type="noConversion"/>
  </si>
  <si>
    <t>1st Energy</t>
  </si>
  <si>
    <t>1st Saver</t>
  </si>
  <si>
    <t>quarter</t>
    <phoneticPr fontId="9" type="noConversion"/>
  </si>
  <si>
    <t>Tas-Single</t>
    <phoneticPr fontId="9" type="noConversion"/>
  </si>
  <si>
    <t>net</t>
    <phoneticPr fontId="9" type="noConversion"/>
  </si>
  <si>
    <t>o</t>
    <phoneticPr fontId="9" type="noConversion"/>
  </si>
  <si>
    <t>Monthly billing</t>
  </si>
  <si>
    <t>Controlled</t>
    <phoneticPr fontId="9" type="noConversion"/>
  </si>
  <si>
    <t>Tas-Controlled 1</t>
    <phoneticPr fontId="9" type="noConversion"/>
  </si>
  <si>
    <t>TOU</t>
    <phoneticPr fontId="9" type="noConversion"/>
  </si>
  <si>
    <t>Tas-TOU</t>
    <phoneticPr fontId="9" type="noConversion"/>
  </si>
  <si>
    <t xml:space="preserve">*Electricity market offers  as of April 2016, April 2017, October 2017, April 2018, October 2018, </t>
  </si>
  <si>
    <t>TAS</t>
  </si>
  <si>
    <t>Single</t>
  </si>
  <si>
    <t>y</t>
  </si>
  <si>
    <t>n</t>
  </si>
  <si>
    <t>Aurora Energy</t>
  </si>
  <si>
    <t>Regulated</t>
  </si>
  <si>
    <t>quarter</t>
  </si>
  <si>
    <t>Tas-Single</t>
  </si>
  <si>
    <t>net</t>
  </si>
  <si>
    <t>o</t>
  </si>
  <si>
    <t>DD discount of 5.5 cents/day</t>
  </si>
  <si>
    <t>TAS</t>
    <phoneticPr fontId="0" type="noConversion"/>
  </si>
  <si>
    <t>TOU</t>
    <phoneticPr fontId="0" type="noConversion"/>
  </si>
  <si>
    <t>y</t>
    <phoneticPr fontId="0" type="noConversion"/>
  </si>
  <si>
    <t>n</t>
    <phoneticPr fontId="0" type="noConversion"/>
  </si>
  <si>
    <t>Aurora Energy</t>
    <phoneticPr fontId="0" type="noConversion"/>
  </si>
  <si>
    <t>Regulated</t>
    <phoneticPr fontId="0" type="noConversion"/>
  </si>
  <si>
    <t/>
  </si>
  <si>
    <t>Tas-TOU</t>
    <phoneticPr fontId="0" type="noConversion"/>
  </si>
  <si>
    <t>net</t>
    <phoneticPr fontId="0" type="noConversion"/>
  </si>
  <si>
    <t>o</t>
    <phoneticPr fontId="0" type="noConversion"/>
  </si>
  <si>
    <t>Controlled</t>
    <phoneticPr fontId="0" type="noConversion"/>
  </si>
  <si>
    <t>quarter</t>
    <phoneticPr fontId="0" type="noConversion"/>
  </si>
  <si>
    <t>Tas-Controlled 1</t>
    <phoneticPr fontId="0" type="noConversion"/>
  </si>
  <si>
    <t>Annual consumption only</t>
  </si>
  <si>
    <t>Type of discount</t>
  </si>
  <si>
    <t>Discount is inclusive or exclusive of GST</t>
  </si>
  <si>
    <t>Annual bill (incl GST)</t>
  </si>
  <si>
    <t>Annual bill incl guaranteed discounts (excl GST)</t>
    <phoneticPr fontId="1" type="noConversion"/>
  </si>
  <si>
    <t>Annual bill incl conditional discounts (excl GST)</t>
    <phoneticPr fontId="1" type="noConversion"/>
  </si>
  <si>
    <r>
      <t>Workbook prepared by Alviss Consulting for</t>
    </r>
    <r>
      <rPr>
        <b/>
        <sz val="11"/>
        <color indexed="48"/>
        <rFont val="Arial"/>
        <family val="2"/>
      </rPr>
      <t xml:space="preserve"> Energy Consumers Australia (ECA)</t>
    </r>
  </si>
  <si>
    <t>Minimum monthly demand charged (kW)</t>
    <phoneticPr fontId="0" type="noConversion"/>
  </si>
  <si>
    <t>Price fix (months)</t>
  </si>
  <si>
    <t>Price fix (date)</t>
  </si>
  <si>
    <t>Mandatory shortened billing cycle (months)</t>
  </si>
  <si>
    <t>Single</t>
    <phoneticPr fontId="0" type="noConversion"/>
  </si>
  <si>
    <t>Tas-Single</t>
    <phoneticPr fontId="0" type="noConversion"/>
  </si>
  <si>
    <t>https://www.auroraenergy.com.au/sites/default/files/2020-07/22-GeneralBusiness-AUR23726RBE3-EnergyMadeEasy.pdf</t>
  </si>
  <si>
    <t>Changed</t>
  </si>
  <si>
    <t>https://www.energymadeeasy.gov.au/plan?id=1ST67430MBE1&amp;utm_source=1st%20Energy&amp;utm_campaign=bpi-retailer&amp;utm_medium=retailer&amp;postcode=7000</t>
  </si>
  <si>
    <t>Unchanged</t>
  </si>
  <si>
    <t>Future X Power</t>
  </si>
  <si>
    <t>Business Smart</t>
  </si>
  <si>
    <t>https://www.energymadeeasy.gov.au/plan?id=FXP13753MBE1&amp;postcode=7000</t>
  </si>
  <si>
    <t>Controlled</t>
  </si>
  <si>
    <t>Tas-Controlled 1</t>
  </si>
  <si>
    <t>https://www.auroraenergy.com.au/sites/default/files/2020-07/22-43-61-GeneralBusiness-HotWater-OffPeak-AUR23727RBE3-EnergyMadeEasy.pdf</t>
  </si>
  <si>
    <t>https://www.energymadeeasy.gov.au/plan?id=1ST67431MBE1&amp;utm_source=1st%20Energy&amp;utm_campaign=bpi-retailer&amp;utm_medium=retailer&amp;postcode=7000</t>
  </si>
  <si>
    <t>https://www.energymadeeasy.gov.au/plan?id=FXP13728MBE1&amp;postcode=7000</t>
  </si>
  <si>
    <t>TOU</t>
  </si>
  <si>
    <t>Tas-TOU</t>
  </si>
  <si>
    <t>https://www.auroraenergy.com.au/sites/default/files/2020-07/94-BusinessTimeofUse-AUR23725RBE3-EnergyMadeEasy.pdf</t>
  </si>
  <si>
    <t>https://www.energymadeeasy.gov.au/plan?id=1ST67446MBE1&amp;utm_source=1st%20Energy&amp;utm_campaign=bpi-retailer&amp;utm_medium=retailer&amp;postcode=7000</t>
  </si>
  <si>
    <t>Service fee ($ per annum)</t>
  </si>
  <si>
    <t>Purpose of SME Tariff-Tracking project:</t>
  </si>
  <si>
    <t>Covau</t>
  </si>
  <si>
    <t>Freedom</t>
  </si>
  <si>
    <t>https://www.energymadeeasy.gov.au/plan?id=COV316329MBE1&amp;postcode=7000</t>
  </si>
  <si>
    <t>Glow Power</t>
  </si>
  <si>
    <t>Market Offer</t>
  </si>
  <si>
    <t>https://www.energymadeeasy.gov.au/plan?id=ESM309795MBE1&amp;postcode=7000</t>
  </si>
  <si>
    <t>Energy Locals</t>
  </si>
  <si>
    <t>Business Member</t>
  </si>
  <si>
    <t>https://www.energymadeeasy.gov.au/plan?id=LCL305294MBE1&amp;postcode=7000</t>
  </si>
  <si>
    <t>https://www.energymadeeasy.gov.au/plan?id=AUR23726RBE5&amp;postcode=7000</t>
  </si>
  <si>
    <t>https://www.energymadeeasy.gov.au/plan?id=1ST255123MBE1&amp;postcode=7000</t>
  </si>
  <si>
    <t>Flexi Saver</t>
  </si>
  <si>
    <t>https://www.energymadeeasy.gov.au/plan?id=AUR23729RBE5&amp;postcode=7000</t>
  </si>
  <si>
    <t>https://www.energymadeeasy.gov.au/plan?id=1ST255125MBE1&amp;postcode=7000</t>
  </si>
  <si>
    <t>https://www.energymadeeasy.gov.au/plan?id=AUR23725RBE5&amp;postcode=7000</t>
  </si>
  <si>
    <t>https://www.energymadeeasy.gov.au/plan?id=COV316333MBE1&amp;postcode=7000</t>
  </si>
  <si>
    <t>Fixed price (months)</t>
  </si>
  <si>
    <t>Benefit period (months)</t>
  </si>
  <si>
    <t>https://www.energymadeeasy.gov.au/plan?id=AUR23727RBE5&amp;postcode=7002</t>
  </si>
  <si>
    <t>https://www.energymadeeasy.gov.au/plan?id=1ST329717MBE1&amp;postcode=7000</t>
  </si>
  <si>
    <t>https://www.energymadeeasy.gov.au/plan?id=FXP13729MBE1&amp;postcode=7000</t>
  </si>
  <si>
    <t>nso</t>
    <phoneticPr fontId="0" type="noConversion"/>
  </si>
  <si>
    <t>CovaU</t>
    <phoneticPr fontId="0" type="noConversion"/>
  </si>
  <si>
    <t>Freedom Online</t>
  </si>
  <si>
    <t>$50 one-off sign-up credits (including GST) will be applied on your first invoice after switching to CovaU. This's applicable to new customer who sign up on CovaU's website only.</t>
  </si>
  <si>
    <t>Not available</t>
  </si>
  <si>
    <t>https://www.energymadeeasy.gov.au/plan?id=LCL360768MBE1&amp;postcode=7000</t>
  </si>
  <si>
    <t>GlowPower</t>
  </si>
  <si>
    <t xml:space="preserve">Business </t>
  </si>
  <si>
    <t>https://www.energymadeeasy.gov.au/plan?id=AUR23727RBE5&amp;postcode=7000</t>
  </si>
  <si>
    <t>https://www.energymadeeasy.gov.au/plan?id=LCL360770MBE1&amp;postcode=7000</t>
  </si>
  <si>
    <t>https://www.energymadeeasy.gov.au/plan?id=AUR105774RBE3&amp;postcode=7000</t>
  </si>
  <si>
    <t>https://www.energymadeeasy.gov.au/plan?id=1ST329721MBE1&amp;postcode=7000</t>
  </si>
  <si>
    <t>https://www.energymadeeasy.gov.au/plan?id=LCL360772MBE1&amp;postcode=7000</t>
  </si>
  <si>
    <t>https://www.energymadeeasy.gov.au/plan?id=ESM309797MBE1&amp;postcode=7000</t>
  </si>
  <si>
    <t>April 2019, October 2019, April 2020, October 2020, April 2021, October 2021, April 2022 and October 2022</t>
  </si>
  <si>
    <t>https://www.energymadeeasy.gov.au/plan?id=1ST410518MBE1&amp;postcode=7000</t>
  </si>
  <si>
    <t xml:space="preserve">$50 sign-up credits </t>
  </si>
  <si>
    <t>https://www.energymadeeasy.gov.au/plan?id=COV479824MBE1&amp;postcode=7000</t>
  </si>
  <si>
    <t>https://www.energymadeeasy.gov.au/plan?id=LCL467269MBE1&amp;postcode=7000</t>
  </si>
  <si>
    <t>https://www.auroraenergy.com.au/sites/default/files/2022-07/2022GeneralBusinessHotWaterOff-Peak-AUR23727RBE6-EnergyMadeEasy.pdf</t>
  </si>
  <si>
    <t>https://www.energymadeeasy.gov.au/plan?id=1ST410521MBE1&amp;postcode=7000</t>
  </si>
  <si>
    <t>https://www.energymadeeasy.gov.au/plan?id=COV479825MBE1&amp;postcode=7000</t>
  </si>
  <si>
    <t>https://www.energymadeeasy.gov.au/plan?id=LCL467275MBE1&amp;postcode=7000</t>
  </si>
  <si>
    <t>https://www.energymadeeasy.gov.au/plan?id=1ST411922MBE1&amp;postcode=7000</t>
  </si>
  <si>
    <t>https://www.energymadeeasy.gov.au/plan?id=LCL467270MBE1&amp;postcode=7000</t>
  </si>
  <si>
    <t>CovaU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</si>
</sst>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1"/>
      <color indexed="8"/>
      <name val="Arial"/>
      <family val="2"/>
    </font>
    <font>
      <sz val="11"/>
      <color indexed="48"/>
      <name val="Arial"/>
      <family val="2"/>
    </font>
    <font>
      <b/>
      <sz val="11"/>
      <color indexed="48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0"/>
      <color theme="10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A9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D7B93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" fillId="0" borderId="0"/>
  </cellStyleXfs>
  <cellXfs count="325">
    <xf numFmtId="0" fontId="0" fillId="0" borderId="0" xfId="0"/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3" borderId="3" xfId="0" applyFill="1" applyBorder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4" borderId="2" xfId="0" applyFill="1" applyBorder="1" applyAlignment="1">
      <alignment horizontal="right" wrapText="1"/>
    </xf>
    <xf numFmtId="0" fontId="0" fillId="5" borderId="0" xfId="0" applyFill="1" applyAlignment="1">
      <alignment horizontal="right" wrapText="1"/>
    </xf>
    <xf numFmtId="0" fontId="0" fillId="5" borderId="0" xfId="0" applyFill="1" applyBorder="1" applyAlignment="1">
      <alignment horizontal="right" wrapText="1"/>
    </xf>
    <xf numFmtId="0" fontId="0" fillId="6" borderId="4" xfId="0" applyFill="1" applyBorder="1" applyAlignment="1">
      <alignment horizontal="right" wrapText="1"/>
    </xf>
    <xf numFmtId="0" fontId="0" fillId="6" borderId="0" xfId="0" applyFill="1" applyBorder="1" applyAlignment="1">
      <alignment horizontal="right" wrapText="1"/>
    </xf>
    <xf numFmtId="0" fontId="0" fillId="7" borderId="0" xfId="0" applyFill="1" applyAlignment="1">
      <alignment horizontal="right" wrapText="1"/>
    </xf>
    <xf numFmtId="0" fontId="0" fillId="8" borderId="0" xfId="0" applyFill="1" applyAlignment="1">
      <alignment horizontal="right" wrapText="1"/>
    </xf>
    <xf numFmtId="0" fontId="0" fillId="9" borderId="3" xfId="0" applyFill="1" applyBorder="1" applyAlignment="1">
      <alignment horizontal="right" wrapText="1"/>
    </xf>
    <xf numFmtId="0" fontId="0" fillId="10" borderId="0" xfId="0" applyFill="1" applyBorder="1" applyAlignment="1">
      <alignment horizontal="center" wrapText="1"/>
    </xf>
    <xf numFmtId="0" fontId="0" fillId="10" borderId="2" xfId="0" applyFill="1" applyBorder="1" applyAlignment="1">
      <alignment horizontal="center" wrapText="1"/>
    </xf>
    <xf numFmtId="0" fontId="0" fillId="11" borderId="0" xfId="0" applyFill="1" applyBorder="1" applyAlignment="1">
      <alignment horizontal="center" wrapText="1"/>
    </xf>
    <xf numFmtId="0" fontId="0" fillId="11" borderId="2" xfId="0" applyFill="1" applyBorder="1" applyAlignment="1">
      <alignment horizontal="center" wrapText="1"/>
    </xf>
    <xf numFmtId="0" fontId="0" fillId="12" borderId="0" xfId="0" applyFill="1" applyBorder="1" applyAlignment="1">
      <alignment horizontal="center" wrapText="1"/>
    </xf>
    <xf numFmtId="0" fontId="0" fillId="12" borderId="2" xfId="0" applyFill="1" applyBorder="1" applyAlignment="1">
      <alignment horizontal="right" wrapText="1"/>
    </xf>
    <xf numFmtId="0" fontId="0" fillId="7" borderId="0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center" wrapText="1"/>
    </xf>
    <xf numFmtId="0" fontId="3" fillId="13" borderId="8" xfId="0" applyFont="1" applyFill="1" applyBorder="1"/>
    <xf numFmtId="0" fontId="3" fillId="13" borderId="0" xfId="0" applyFont="1" applyFill="1" applyBorder="1"/>
    <xf numFmtId="0" fontId="3" fillId="13" borderId="5" xfId="0" applyFont="1" applyFill="1" applyBorder="1"/>
    <xf numFmtId="14" fontId="1" fillId="0" borderId="1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7" fillId="13" borderId="0" xfId="0" applyFont="1" applyFill="1"/>
    <xf numFmtId="0" fontId="3" fillId="13" borderId="0" xfId="0" applyFont="1" applyFill="1"/>
    <xf numFmtId="0" fontId="8" fillId="13" borderId="0" xfId="0" applyFont="1" applyFill="1"/>
    <xf numFmtId="0" fontId="8" fillId="13" borderId="7" xfId="0" applyFont="1" applyFill="1" applyBorder="1"/>
    <xf numFmtId="0" fontId="10" fillId="13" borderId="8" xfId="0" applyFont="1" applyFill="1" applyBorder="1"/>
    <xf numFmtId="0" fontId="4" fillId="13" borderId="0" xfId="0" applyFont="1" applyFill="1"/>
    <xf numFmtId="0" fontId="10" fillId="13" borderId="0" xfId="0" applyFont="1" applyFill="1"/>
    <xf numFmtId="0" fontId="10" fillId="13" borderId="0" xfId="0" applyFont="1" applyFill="1" applyBorder="1"/>
    <xf numFmtId="0" fontId="11" fillId="13" borderId="0" xfId="0" applyFont="1" applyFill="1" applyBorder="1"/>
    <xf numFmtId="0" fontId="3" fillId="13" borderId="0" xfId="0" applyFont="1" applyFill="1" applyProtection="1">
      <protection hidden="1"/>
    </xf>
    <xf numFmtId="0" fontId="10" fillId="0" borderId="0" xfId="0" applyFont="1" applyFill="1" applyBorder="1"/>
    <xf numFmtId="0" fontId="3" fillId="13" borderId="10" xfId="0" applyFont="1" applyFill="1" applyBorder="1"/>
    <xf numFmtId="0" fontId="3" fillId="13" borderId="11" xfId="0" applyFont="1" applyFill="1" applyBorder="1"/>
    <xf numFmtId="0" fontId="10" fillId="13" borderId="11" xfId="0" applyFont="1" applyFill="1" applyBorder="1"/>
    <xf numFmtId="0" fontId="3" fillId="14" borderId="0" xfId="0" applyFont="1" applyFill="1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15" borderId="0" xfId="0" applyFont="1" applyFill="1" applyProtection="1">
      <protection hidden="1"/>
    </xf>
    <xf numFmtId="0" fontId="0" fillId="0" borderId="0" xfId="0" applyProtection="1">
      <protection hidden="1"/>
    </xf>
    <xf numFmtId="0" fontId="4" fillId="15" borderId="0" xfId="0" applyFont="1" applyFill="1" applyProtection="1">
      <protection hidden="1"/>
    </xf>
    <xf numFmtId="0" fontId="3" fillId="15" borderId="11" xfId="0" applyFont="1" applyFill="1" applyBorder="1" applyProtection="1">
      <protection hidden="1"/>
    </xf>
    <xf numFmtId="0" fontId="5" fillId="13" borderId="7" xfId="0" applyFont="1" applyFill="1" applyBorder="1" applyProtection="1">
      <protection hidden="1"/>
    </xf>
    <xf numFmtId="0" fontId="3" fillId="13" borderId="8" xfId="0" applyFont="1" applyFill="1" applyBorder="1" applyProtection="1">
      <protection hidden="1"/>
    </xf>
    <xf numFmtId="0" fontId="3" fillId="13" borderId="0" xfId="0" applyFont="1" applyFill="1" applyBorder="1" applyProtection="1">
      <protection hidden="1"/>
    </xf>
    <xf numFmtId="0" fontId="3" fillId="13" borderId="9" xfId="0" applyFont="1" applyFill="1" applyBorder="1" applyProtection="1">
      <protection hidden="1"/>
    </xf>
    <xf numFmtId="0" fontId="3" fillId="13" borderId="5" xfId="0" applyFont="1" applyFill="1" applyBorder="1" applyProtection="1">
      <protection hidden="1"/>
    </xf>
    <xf numFmtId="0" fontId="3" fillId="13" borderId="6" xfId="0" applyFont="1" applyFill="1" applyBorder="1" applyProtection="1">
      <protection hidden="1"/>
    </xf>
    <xf numFmtId="0" fontId="3" fillId="15" borderId="0" xfId="0" applyFont="1" applyFill="1" applyAlignment="1" applyProtection="1">
      <alignment wrapText="1"/>
      <protection hidden="1"/>
    </xf>
    <xf numFmtId="4" fontId="3" fillId="13" borderId="3" xfId="0" applyNumberFormat="1" applyFont="1" applyFill="1" applyBorder="1" applyProtection="1">
      <protection hidden="1"/>
    </xf>
    <xf numFmtId="4" fontId="3" fillId="13" borderId="4" xfId="0" applyNumberFormat="1" applyFont="1" applyFill="1" applyBorder="1" applyProtection="1">
      <protection hidden="1"/>
    </xf>
    <xf numFmtId="2" fontId="3" fillId="13" borderId="3" xfId="0" applyNumberFormat="1" applyFont="1" applyFill="1" applyBorder="1" applyAlignment="1" applyProtection="1">
      <alignment horizontal="right"/>
      <protection hidden="1"/>
    </xf>
    <xf numFmtId="4" fontId="3" fillId="13" borderId="2" xfId="0" applyNumberFormat="1" applyFont="1" applyFill="1" applyBorder="1" applyProtection="1">
      <protection hidden="1"/>
    </xf>
    <xf numFmtId="3" fontId="3" fillId="13" borderId="3" xfId="0" applyNumberFormat="1" applyFont="1" applyFill="1" applyBorder="1" applyProtection="1">
      <protection hidden="1"/>
    </xf>
    <xf numFmtId="3" fontId="4" fillId="13" borderId="3" xfId="0" applyNumberFormat="1" applyFont="1" applyFill="1" applyBorder="1" applyProtection="1">
      <protection hidden="1"/>
    </xf>
    <xf numFmtId="0" fontId="3" fillId="13" borderId="3" xfId="0" applyFont="1" applyFill="1" applyBorder="1" applyProtection="1">
      <protection hidden="1"/>
    </xf>
    <xf numFmtId="0" fontId="3" fillId="13" borderId="3" xfId="0" applyFont="1" applyFill="1" applyBorder="1" applyAlignment="1" applyProtection="1">
      <alignment horizontal="center"/>
      <protection hidden="1"/>
    </xf>
    <xf numFmtId="0" fontId="3" fillId="13" borderId="16" xfId="0" applyFont="1" applyFill="1" applyBorder="1" applyAlignment="1" applyProtection="1">
      <alignment horizontal="center"/>
      <protection hidden="1"/>
    </xf>
    <xf numFmtId="0" fontId="0" fillId="15" borderId="0" xfId="0" applyFill="1" applyProtection="1">
      <protection hidden="1"/>
    </xf>
    <xf numFmtId="4" fontId="3" fillId="13" borderId="8" xfId="0" applyNumberFormat="1" applyFont="1" applyFill="1" applyBorder="1" applyProtection="1">
      <protection hidden="1"/>
    </xf>
    <xf numFmtId="3" fontId="4" fillId="13" borderId="8" xfId="0" applyNumberFormat="1" applyFont="1" applyFill="1" applyBorder="1" applyProtection="1">
      <protection hidden="1"/>
    </xf>
    <xf numFmtId="4" fontId="3" fillId="13" borderId="0" xfId="0" applyNumberFormat="1" applyFont="1" applyFill="1" applyBorder="1" applyProtection="1">
      <protection hidden="1"/>
    </xf>
    <xf numFmtId="3" fontId="4" fillId="13" borderId="0" xfId="0" applyNumberFormat="1" applyFont="1" applyFill="1" applyBorder="1" applyProtection="1">
      <protection hidden="1"/>
    </xf>
    <xf numFmtId="4" fontId="6" fillId="13" borderId="0" xfId="0" applyNumberFormat="1" applyFont="1" applyFill="1" applyProtection="1">
      <protection hidden="1"/>
    </xf>
    <xf numFmtId="0" fontId="3" fillId="15" borderId="0" xfId="0" applyFont="1" applyFill="1" applyBorder="1" applyProtection="1">
      <protection hidden="1"/>
    </xf>
    <xf numFmtId="0" fontId="4" fillId="14" borderId="0" xfId="0" applyFont="1" applyFill="1" applyBorder="1" applyProtection="1">
      <protection locked="0"/>
    </xf>
    <xf numFmtId="9" fontId="4" fillId="14" borderId="0" xfId="0" applyNumberFormat="1" applyFont="1" applyFill="1" applyBorder="1" applyProtection="1">
      <protection locked="0"/>
    </xf>
    <xf numFmtId="0" fontId="3" fillId="16" borderId="0" xfId="0" applyFont="1" applyFill="1" applyProtection="1">
      <protection hidden="1"/>
    </xf>
    <xf numFmtId="0" fontId="0" fillId="16" borderId="0" xfId="0" applyFill="1" applyProtection="1">
      <protection hidden="1"/>
    </xf>
    <xf numFmtId="0" fontId="4" fillId="16" borderId="0" xfId="0" applyFont="1" applyFill="1" applyProtection="1">
      <protection hidden="1"/>
    </xf>
    <xf numFmtId="0" fontId="3" fillId="16" borderId="11" xfId="0" applyFont="1" applyFill="1" applyBorder="1" applyProtection="1">
      <protection hidden="1"/>
    </xf>
    <xf numFmtId="0" fontId="3" fillId="16" borderId="0" xfId="0" applyFont="1" applyFill="1" applyAlignment="1" applyProtection="1">
      <alignment wrapText="1"/>
      <protection hidden="1"/>
    </xf>
    <xf numFmtId="0" fontId="3" fillId="16" borderId="0" xfId="0" applyFont="1" applyFill="1" applyBorder="1" applyProtection="1">
      <protection hidden="1"/>
    </xf>
    <xf numFmtId="0" fontId="3" fillId="18" borderId="0" xfId="0" applyFont="1" applyFill="1" applyProtection="1">
      <protection hidden="1"/>
    </xf>
    <xf numFmtId="0" fontId="0" fillId="18" borderId="0" xfId="0" applyFill="1" applyProtection="1">
      <protection hidden="1"/>
    </xf>
    <xf numFmtId="0" fontId="4" fillId="18" borderId="0" xfId="0" applyFont="1" applyFill="1" applyProtection="1">
      <protection hidden="1"/>
    </xf>
    <xf numFmtId="0" fontId="3" fillId="18" borderId="11" xfId="0" applyFont="1" applyFill="1" applyBorder="1" applyProtection="1">
      <protection hidden="1"/>
    </xf>
    <xf numFmtId="0" fontId="3" fillId="18" borderId="0" xfId="0" applyFont="1" applyFill="1" applyAlignment="1" applyProtection="1">
      <alignment wrapText="1"/>
      <protection hidden="1"/>
    </xf>
    <xf numFmtId="0" fontId="3" fillId="19" borderId="10" xfId="0" applyFont="1" applyFill="1" applyBorder="1" applyProtection="1">
      <protection hidden="1"/>
    </xf>
    <xf numFmtId="4" fontId="3" fillId="19" borderId="12" xfId="0" applyNumberFormat="1" applyFont="1" applyFill="1" applyBorder="1" applyProtection="1">
      <protection hidden="1"/>
    </xf>
    <xf numFmtId="4" fontId="3" fillId="19" borderId="13" xfId="0" applyNumberFormat="1" applyFont="1" applyFill="1" applyBorder="1" applyProtection="1">
      <protection hidden="1"/>
    </xf>
    <xf numFmtId="2" fontId="3" fillId="19" borderId="12" xfId="0" applyNumberFormat="1" applyFont="1" applyFill="1" applyBorder="1" applyAlignment="1" applyProtection="1">
      <alignment horizontal="right"/>
      <protection hidden="1"/>
    </xf>
    <xf numFmtId="4" fontId="3" fillId="19" borderId="14" xfId="0" applyNumberFormat="1" applyFont="1" applyFill="1" applyBorder="1" applyProtection="1">
      <protection hidden="1"/>
    </xf>
    <xf numFmtId="3" fontId="3" fillId="19" borderId="12" xfId="0" applyNumberFormat="1" applyFont="1" applyFill="1" applyBorder="1" applyProtection="1">
      <protection hidden="1"/>
    </xf>
    <xf numFmtId="3" fontId="4" fillId="19" borderId="12" xfId="0" applyNumberFormat="1" applyFont="1" applyFill="1" applyBorder="1" applyProtection="1">
      <protection hidden="1"/>
    </xf>
    <xf numFmtId="0" fontId="3" fillId="19" borderId="12" xfId="0" applyFont="1" applyFill="1" applyBorder="1" applyProtection="1">
      <protection hidden="1"/>
    </xf>
    <xf numFmtId="0" fontId="3" fillId="19" borderId="12" xfId="0" applyFont="1" applyFill="1" applyBorder="1" applyAlignment="1" applyProtection="1">
      <alignment horizontal="center"/>
      <protection hidden="1"/>
    </xf>
    <xf numFmtId="0" fontId="3" fillId="19" borderId="15" xfId="0" applyFont="1" applyFill="1" applyBorder="1" applyAlignment="1" applyProtection="1">
      <alignment horizontal="center"/>
      <protection hidden="1"/>
    </xf>
    <xf numFmtId="0" fontId="0" fillId="19" borderId="0" xfId="0" applyFill="1" applyProtection="1">
      <protection hidden="1"/>
    </xf>
    <xf numFmtId="4" fontId="6" fillId="19" borderId="11" xfId="0" applyNumberFormat="1" applyFont="1" applyFill="1" applyBorder="1" applyProtection="1">
      <protection hidden="1"/>
    </xf>
    <xf numFmtId="0" fontId="3" fillId="18" borderId="0" xfId="0" applyFont="1" applyFill="1" applyBorder="1" applyProtection="1">
      <protection hidden="1"/>
    </xf>
    <xf numFmtId="0" fontId="3" fillId="20" borderId="0" xfId="0" applyFont="1" applyFill="1" applyProtection="1">
      <protection hidden="1"/>
    </xf>
    <xf numFmtId="0" fontId="0" fillId="20" borderId="0" xfId="0" applyFill="1" applyProtection="1">
      <protection hidden="1"/>
    </xf>
    <xf numFmtId="0" fontId="4" fillId="20" borderId="0" xfId="0" applyFont="1" applyFill="1" applyProtection="1">
      <protection hidden="1"/>
    </xf>
    <xf numFmtId="0" fontId="3" fillId="20" borderId="11" xfId="0" applyFont="1" applyFill="1" applyBorder="1" applyProtection="1">
      <protection hidden="1"/>
    </xf>
    <xf numFmtId="0" fontId="3" fillId="20" borderId="0" xfId="0" applyFont="1" applyFill="1" applyAlignment="1" applyProtection="1">
      <alignment wrapText="1"/>
      <protection hidden="1"/>
    </xf>
    <xf numFmtId="0" fontId="3" fillId="20" borderId="0" xfId="0" applyFont="1" applyFill="1" applyBorder="1" applyProtection="1">
      <protection hidden="1"/>
    </xf>
    <xf numFmtId="0" fontId="3" fillId="21" borderId="0" xfId="0" applyFont="1" applyFill="1" applyProtection="1">
      <protection hidden="1"/>
    </xf>
    <xf numFmtId="0" fontId="0" fillId="21" borderId="0" xfId="0" applyFill="1" applyProtection="1">
      <protection hidden="1"/>
    </xf>
    <xf numFmtId="0" fontId="4" fillId="21" borderId="0" xfId="0" applyFont="1" applyFill="1" applyProtection="1">
      <protection hidden="1"/>
    </xf>
    <xf numFmtId="0" fontId="3" fillId="21" borderId="11" xfId="0" applyFont="1" applyFill="1" applyBorder="1" applyProtection="1">
      <protection hidden="1"/>
    </xf>
    <xf numFmtId="0" fontId="3" fillId="21" borderId="0" xfId="0" applyFont="1" applyFill="1" applyAlignment="1" applyProtection="1">
      <alignment wrapText="1"/>
      <protection hidden="1"/>
    </xf>
    <xf numFmtId="0" fontId="3" fillId="21" borderId="0" xfId="0" applyFont="1" applyFill="1" applyBorder="1" applyProtection="1">
      <protection hidden="1"/>
    </xf>
    <xf numFmtId="0" fontId="3" fillId="0" borderId="3" xfId="0" applyFont="1" applyFill="1" applyBorder="1" applyProtection="1">
      <protection hidden="1"/>
    </xf>
    <xf numFmtId="4" fontId="3" fillId="0" borderId="3" xfId="0" applyNumberFormat="1" applyFont="1" applyFill="1" applyBorder="1" applyProtection="1">
      <protection hidden="1"/>
    </xf>
    <xf numFmtId="4" fontId="3" fillId="0" borderId="4" xfId="0" applyNumberFormat="1" applyFont="1" applyFill="1" applyBorder="1" applyProtection="1">
      <protection hidden="1"/>
    </xf>
    <xf numFmtId="2" fontId="3" fillId="0" borderId="3" xfId="0" applyNumberFormat="1" applyFont="1" applyFill="1" applyBorder="1" applyAlignment="1" applyProtection="1">
      <alignment horizontal="right"/>
      <protection hidden="1"/>
    </xf>
    <xf numFmtId="4" fontId="3" fillId="0" borderId="2" xfId="0" applyNumberFormat="1" applyFont="1" applyFill="1" applyBorder="1" applyProtection="1">
      <protection hidden="1"/>
    </xf>
    <xf numFmtId="3" fontId="3" fillId="0" borderId="3" xfId="0" applyNumberFormat="1" applyFont="1" applyFill="1" applyBorder="1" applyProtection="1">
      <protection hidden="1"/>
    </xf>
    <xf numFmtId="3" fontId="4" fillId="0" borderId="3" xfId="0" applyNumberFormat="1" applyFont="1" applyFill="1" applyBorder="1" applyProtection="1">
      <protection hidden="1"/>
    </xf>
    <xf numFmtId="0" fontId="3" fillId="0" borderId="3" xfId="0" applyFont="1" applyFill="1" applyBorder="1" applyAlignment="1" applyProtection="1">
      <alignment horizontal="right"/>
      <protection hidden="1"/>
    </xf>
    <xf numFmtId="0" fontId="3" fillId="0" borderId="16" xfId="0" applyFont="1" applyFill="1" applyBorder="1" applyAlignment="1" applyProtection="1">
      <alignment horizontal="right"/>
      <protection hidden="1"/>
    </xf>
    <xf numFmtId="0" fontId="3" fillId="0" borderId="12" xfId="0" applyFont="1" applyFill="1" applyBorder="1" applyProtection="1">
      <protection hidden="1"/>
    </xf>
    <xf numFmtId="4" fontId="3" fillId="0" borderId="12" xfId="0" applyNumberFormat="1" applyFont="1" applyFill="1" applyBorder="1" applyProtection="1">
      <protection hidden="1"/>
    </xf>
    <xf numFmtId="4" fontId="3" fillId="0" borderId="13" xfId="0" applyNumberFormat="1" applyFont="1" applyFill="1" applyBorder="1" applyProtection="1">
      <protection hidden="1"/>
    </xf>
    <xf numFmtId="2" fontId="3" fillId="0" borderId="12" xfId="0" applyNumberFormat="1" applyFont="1" applyFill="1" applyBorder="1" applyAlignment="1" applyProtection="1">
      <alignment horizontal="right"/>
      <protection hidden="1"/>
    </xf>
    <xf numFmtId="4" fontId="3" fillId="0" borderId="14" xfId="0" applyNumberFormat="1" applyFont="1" applyFill="1" applyBorder="1" applyProtection="1">
      <protection hidden="1"/>
    </xf>
    <xf numFmtId="3" fontId="3" fillId="0" borderId="12" xfId="0" applyNumberFormat="1" applyFont="1" applyFill="1" applyBorder="1" applyProtection="1">
      <protection hidden="1"/>
    </xf>
    <xf numFmtId="3" fontId="4" fillId="0" borderId="12" xfId="0" applyNumberFormat="1" applyFont="1" applyFill="1" applyBorder="1" applyProtection="1">
      <protection hidden="1"/>
    </xf>
    <xf numFmtId="0" fontId="3" fillId="0" borderId="12" xfId="0" applyFont="1" applyFill="1" applyBorder="1" applyAlignment="1" applyProtection="1">
      <alignment horizontal="right"/>
      <protection hidden="1"/>
    </xf>
    <xf numFmtId="0" fontId="3" fillId="0" borderId="15" xfId="0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center" wrapText="1"/>
      <protection hidden="1"/>
    </xf>
    <xf numFmtId="0" fontId="4" fillId="3" borderId="1" xfId="0" applyFont="1" applyFill="1" applyBorder="1" applyAlignment="1" applyProtection="1">
      <alignment horizontal="center" wrapText="1"/>
      <protection hidden="1"/>
    </xf>
    <xf numFmtId="0" fontId="3" fillId="3" borderId="18" xfId="0" applyFont="1" applyFill="1" applyBorder="1" applyAlignment="1" applyProtection="1">
      <alignment horizontal="center" wrapText="1"/>
      <protection hidden="1"/>
    </xf>
    <xf numFmtId="0" fontId="5" fillId="3" borderId="19" xfId="0" applyFont="1" applyFill="1" applyBorder="1" applyAlignment="1" applyProtection="1">
      <alignment wrapText="1"/>
      <protection hidden="1"/>
    </xf>
    <xf numFmtId="0" fontId="5" fillId="3" borderId="20" xfId="0" applyFont="1" applyFill="1" applyBorder="1" applyAlignment="1" applyProtection="1">
      <alignment wrapText="1"/>
      <protection hidden="1"/>
    </xf>
    <xf numFmtId="0" fontId="3" fillId="3" borderId="20" xfId="0" applyFont="1" applyFill="1" applyBorder="1" applyAlignment="1" applyProtection="1">
      <alignment horizontal="center" wrapText="1"/>
      <protection hidden="1"/>
    </xf>
    <xf numFmtId="0" fontId="4" fillId="3" borderId="19" xfId="0" applyFont="1" applyFill="1" applyBorder="1" applyAlignment="1" applyProtection="1">
      <alignment horizontal="center" wrapText="1"/>
      <protection hidden="1"/>
    </xf>
    <xf numFmtId="0" fontId="3" fillId="0" borderId="5" xfId="0" applyFont="1" applyFill="1" applyBorder="1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Protection="1"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4" fontId="6" fillId="0" borderId="0" xfId="0" applyNumberFormat="1" applyFont="1" applyFill="1" applyProtection="1">
      <protection hidden="1"/>
    </xf>
    <xf numFmtId="4" fontId="6" fillId="0" borderId="11" xfId="0" applyNumberFormat="1" applyFont="1" applyFill="1" applyBorder="1" applyProtection="1">
      <protection hidden="1"/>
    </xf>
    <xf numFmtId="0" fontId="3" fillId="3" borderId="21" xfId="0" applyFont="1" applyFill="1" applyBorder="1" applyAlignment="1" applyProtection="1">
      <alignment horizontal="center" wrapText="1"/>
      <protection hidden="1"/>
    </xf>
    <xf numFmtId="0" fontId="3" fillId="0" borderId="2" xfId="0" applyFont="1" applyFill="1" applyBorder="1" applyProtection="1">
      <protection hidden="1"/>
    </xf>
    <xf numFmtId="0" fontId="3" fillId="0" borderId="14" xfId="0" applyFont="1" applyFill="1" applyBorder="1" applyProtection="1">
      <protection hidden="1"/>
    </xf>
    <xf numFmtId="0" fontId="3" fillId="13" borderId="22" xfId="0" applyFont="1" applyFill="1" applyBorder="1" applyProtection="1">
      <protection hidden="1"/>
    </xf>
    <xf numFmtId="0" fontId="3" fillId="19" borderId="14" xfId="0" applyFont="1" applyFill="1" applyBorder="1" applyProtection="1">
      <protection hidden="1"/>
    </xf>
    <xf numFmtId="0" fontId="3" fillId="0" borderId="23" xfId="0" applyFont="1" applyFill="1" applyBorder="1" applyProtection="1">
      <protection hidden="1"/>
    </xf>
    <xf numFmtId="0" fontId="3" fillId="0" borderId="24" xfId="0" applyFont="1" applyFill="1" applyBorder="1" applyProtection="1">
      <protection hidden="1"/>
    </xf>
    <xf numFmtId="4" fontId="3" fillId="0" borderId="25" xfId="0" applyNumberFormat="1" applyFont="1" applyFill="1" applyBorder="1" applyProtection="1">
      <protection hidden="1"/>
    </xf>
    <xf numFmtId="4" fontId="3" fillId="0" borderId="26" xfId="0" applyNumberFormat="1" applyFont="1" applyFill="1" applyBorder="1" applyProtection="1">
      <protection hidden="1"/>
    </xf>
    <xf numFmtId="2" fontId="3" fillId="0" borderId="25" xfId="0" applyNumberFormat="1" applyFont="1" applyFill="1" applyBorder="1" applyAlignment="1" applyProtection="1">
      <alignment horizontal="right"/>
      <protection hidden="1"/>
    </xf>
    <xf numFmtId="4" fontId="3" fillId="0" borderId="24" xfId="0" applyNumberFormat="1" applyFont="1" applyFill="1" applyBorder="1" applyProtection="1">
      <protection hidden="1"/>
    </xf>
    <xf numFmtId="3" fontId="3" fillId="0" borderId="25" xfId="0" applyNumberFormat="1" applyFont="1" applyFill="1" applyBorder="1" applyProtection="1">
      <protection hidden="1"/>
    </xf>
    <xf numFmtId="3" fontId="4" fillId="0" borderId="25" xfId="0" applyNumberFormat="1" applyFont="1" applyFill="1" applyBorder="1" applyProtection="1">
      <protection hidden="1"/>
    </xf>
    <xf numFmtId="0" fontId="3" fillId="0" borderId="25" xfId="0" applyFont="1" applyFill="1" applyBorder="1" applyProtection="1">
      <protection hidden="1"/>
    </xf>
    <xf numFmtId="0" fontId="3" fillId="0" borderId="25" xfId="0" applyFont="1" applyFill="1" applyBorder="1" applyAlignment="1" applyProtection="1">
      <alignment horizontal="right"/>
      <protection hidden="1"/>
    </xf>
    <xf numFmtId="0" fontId="3" fillId="0" borderId="27" xfId="0" applyFont="1" applyFill="1" applyBorder="1" applyAlignment="1" applyProtection="1">
      <alignment horizontal="right"/>
      <protection hidden="1"/>
    </xf>
    <xf numFmtId="0" fontId="3" fillId="22" borderId="0" xfId="0" applyFont="1" applyFill="1" applyProtection="1">
      <protection hidden="1"/>
    </xf>
    <xf numFmtId="0" fontId="4" fillId="22" borderId="0" xfId="0" applyFont="1" applyFill="1" applyProtection="1">
      <protection hidden="1"/>
    </xf>
    <xf numFmtId="0" fontId="3" fillId="22" borderId="11" xfId="0" applyFont="1" applyFill="1" applyBorder="1" applyProtection="1">
      <protection hidden="1"/>
    </xf>
    <xf numFmtId="0" fontId="3" fillId="22" borderId="0" xfId="0" applyFont="1" applyFill="1" applyAlignment="1" applyProtection="1">
      <alignment wrapText="1"/>
      <protection hidden="1"/>
    </xf>
    <xf numFmtId="0" fontId="3" fillId="22" borderId="0" xfId="0" applyFont="1" applyFill="1" applyBorder="1" applyProtection="1">
      <protection hidden="1"/>
    </xf>
    <xf numFmtId="0" fontId="1" fillId="0" borderId="1" xfId="0" applyFont="1" applyFill="1" applyBorder="1"/>
    <xf numFmtId="1" fontId="0" fillId="0" borderId="1" xfId="0" applyNumberFormat="1" applyFill="1" applyBorder="1"/>
    <xf numFmtId="0" fontId="1" fillId="0" borderId="1" xfId="0" applyFont="1" applyBorder="1"/>
    <xf numFmtId="0" fontId="3" fillId="0" borderId="28" xfId="0" applyFont="1" applyFill="1" applyBorder="1" applyProtection="1">
      <protection hidden="1"/>
    </xf>
    <xf numFmtId="0" fontId="3" fillId="0" borderId="22" xfId="0" applyFont="1" applyFill="1" applyBorder="1" applyProtection="1">
      <protection hidden="1"/>
    </xf>
    <xf numFmtId="4" fontId="3" fillId="0" borderId="29" xfId="0" applyNumberFormat="1" applyFont="1" applyFill="1" applyBorder="1" applyProtection="1">
      <protection hidden="1"/>
    </xf>
    <xf numFmtId="2" fontId="3" fillId="0" borderId="29" xfId="0" applyNumberFormat="1" applyFont="1" applyFill="1" applyBorder="1" applyAlignment="1" applyProtection="1">
      <alignment horizontal="right"/>
      <protection hidden="1"/>
    </xf>
    <xf numFmtId="4" fontId="3" fillId="0" borderId="22" xfId="0" applyNumberFormat="1" applyFont="1" applyFill="1" applyBorder="1" applyProtection="1">
      <protection hidden="1"/>
    </xf>
    <xf numFmtId="3" fontId="3" fillId="0" borderId="29" xfId="0" applyNumberFormat="1" applyFont="1" applyFill="1" applyBorder="1" applyProtection="1">
      <protection hidden="1"/>
    </xf>
    <xf numFmtId="3" fontId="4" fillId="0" borderId="29" xfId="0" applyNumberFormat="1" applyFont="1" applyFill="1" applyBorder="1" applyProtection="1">
      <protection hidden="1"/>
    </xf>
    <xf numFmtId="0" fontId="3" fillId="0" borderId="29" xfId="0" applyFont="1" applyFill="1" applyBorder="1" applyProtection="1"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30" xfId="0" applyFont="1" applyFill="1" applyBorder="1" applyAlignment="1" applyProtection="1">
      <alignment horizontal="center"/>
      <protection hidden="1"/>
    </xf>
    <xf numFmtId="0" fontId="0" fillId="23" borderId="1" xfId="0" applyFill="1" applyBorder="1"/>
    <xf numFmtId="0" fontId="3" fillId="24" borderId="0" xfId="0" applyFont="1" applyFill="1" applyProtection="1">
      <protection hidden="1"/>
    </xf>
    <xf numFmtId="0" fontId="4" fillId="24" borderId="0" xfId="0" applyFont="1" applyFill="1" applyProtection="1">
      <protection hidden="1"/>
    </xf>
    <xf numFmtId="0" fontId="3" fillId="24" borderId="11" xfId="0" applyFont="1" applyFill="1" applyBorder="1" applyProtection="1">
      <protection hidden="1"/>
    </xf>
    <xf numFmtId="0" fontId="3" fillId="24" borderId="0" xfId="0" applyFont="1" applyFill="1" applyAlignment="1" applyProtection="1">
      <alignment wrapText="1"/>
      <protection hidden="1"/>
    </xf>
    <xf numFmtId="0" fontId="3" fillId="24" borderId="0" xfId="0" applyFont="1" applyFill="1" applyBorder="1" applyProtection="1">
      <protection hidden="1"/>
    </xf>
    <xf numFmtId="2" fontId="0" fillId="0" borderId="1" xfId="0" applyNumberFormat="1" applyFill="1" applyBorder="1"/>
    <xf numFmtId="0" fontId="12" fillId="0" borderId="1" xfId="0" applyFont="1" applyBorder="1"/>
    <xf numFmtId="14" fontId="12" fillId="0" borderId="1" xfId="0" applyNumberFormat="1" applyFont="1" applyBorder="1"/>
    <xf numFmtId="14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/>
    <xf numFmtId="1" fontId="12" fillId="0" borderId="1" xfId="0" applyNumberFormat="1" applyFont="1" applyBorder="1"/>
    <xf numFmtId="0" fontId="12" fillId="0" borderId="1" xfId="0" applyFont="1" applyBorder="1" applyAlignment="1">
      <alignment horizontal="left"/>
    </xf>
    <xf numFmtId="3" fontId="3" fillId="23" borderId="13" xfId="0" applyNumberFormat="1" applyFont="1" applyFill="1" applyBorder="1" applyProtection="1">
      <protection hidden="1"/>
    </xf>
    <xf numFmtId="3" fontId="3" fillId="23" borderId="14" xfId="0" applyNumberFormat="1" applyFont="1" applyFill="1" applyBorder="1" applyProtection="1">
      <protection hidden="1"/>
    </xf>
    <xf numFmtId="3" fontId="3" fillId="23" borderId="29" xfId="0" applyNumberFormat="1" applyFont="1" applyFill="1" applyBorder="1" applyProtection="1">
      <protection hidden="1"/>
    </xf>
    <xf numFmtId="3" fontId="3" fillId="23" borderId="3" xfId="0" applyNumberFormat="1" applyFont="1" applyFill="1" applyBorder="1" applyProtection="1">
      <protection hidden="1"/>
    </xf>
    <xf numFmtId="3" fontId="3" fillId="23" borderId="31" xfId="0" applyNumberFormat="1" applyFont="1" applyFill="1" applyBorder="1" applyProtection="1">
      <protection hidden="1"/>
    </xf>
    <xf numFmtId="3" fontId="3" fillId="23" borderId="22" xfId="0" applyNumberFormat="1" applyFont="1" applyFill="1" applyBorder="1" applyProtection="1">
      <protection hidden="1"/>
    </xf>
    <xf numFmtId="3" fontId="3" fillId="23" borderId="12" xfId="0" applyNumberFormat="1" applyFont="1" applyFill="1" applyBorder="1" applyProtection="1">
      <protection hidden="1"/>
    </xf>
    <xf numFmtId="3" fontId="3" fillId="23" borderId="32" xfId="0" applyNumberFormat="1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4" fontId="3" fillId="0" borderId="0" xfId="0" applyNumberFormat="1" applyFont="1" applyFill="1" applyBorder="1" applyProtection="1">
      <protection hidden="1"/>
    </xf>
    <xf numFmtId="3" fontId="4" fillId="0" borderId="0" xfId="0" applyNumberFormat="1" applyFont="1" applyFill="1" applyBorder="1" applyProtection="1">
      <protection hidden="1"/>
    </xf>
    <xf numFmtId="3" fontId="4" fillId="0" borderId="2" xfId="0" applyNumberFormat="1" applyFont="1" applyFill="1" applyBorder="1" applyProtection="1">
      <protection hidden="1"/>
    </xf>
    <xf numFmtId="0" fontId="3" fillId="0" borderId="13" xfId="0" applyFont="1" applyFill="1" applyBorder="1" applyProtection="1">
      <protection hidden="1"/>
    </xf>
    <xf numFmtId="3" fontId="3" fillId="23" borderId="11" xfId="0" applyNumberFormat="1" applyFont="1" applyFill="1" applyBorder="1" applyProtection="1">
      <protection hidden="1"/>
    </xf>
    <xf numFmtId="3" fontId="3" fillId="0" borderId="32" xfId="0" applyNumberFormat="1" applyFont="1" applyFill="1" applyBorder="1" applyProtection="1">
      <protection hidden="1"/>
    </xf>
    <xf numFmtId="3" fontId="3" fillId="0" borderId="13" xfId="0" applyNumberFormat="1" applyFont="1" applyFill="1" applyBorder="1" applyProtection="1">
      <protection hidden="1"/>
    </xf>
    <xf numFmtId="3" fontId="3" fillId="0" borderId="14" xfId="0" applyNumberFormat="1" applyFont="1" applyFill="1" applyBorder="1" applyProtection="1">
      <protection hidden="1"/>
    </xf>
    <xf numFmtId="3" fontId="3" fillId="0" borderId="31" xfId="0" applyNumberFormat="1" applyFont="1" applyFill="1" applyBorder="1" applyProtection="1">
      <protection hidden="1"/>
    </xf>
    <xf numFmtId="3" fontId="3" fillId="0" borderId="22" xfId="0" applyNumberFormat="1" applyFont="1" applyFill="1" applyBorder="1" applyProtection="1">
      <protection hidden="1"/>
    </xf>
    <xf numFmtId="0" fontId="3" fillId="13" borderId="9" xfId="0" applyFont="1" applyFill="1" applyBorder="1"/>
    <xf numFmtId="0" fontId="3" fillId="13" borderId="6" xfId="0" applyFont="1" applyFill="1" applyBorder="1"/>
    <xf numFmtId="0" fontId="3" fillId="13" borderId="17" xfId="0" applyFont="1" applyFill="1" applyBorder="1"/>
    <xf numFmtId="0" fontId="11" fillId="3" borderId="7" xfId="0" applyFont="1" applyFill="1" applyBorder="1"/>
    <xf numFmtId="0" fontId="3" fillId="3" borderId="9" xfId="0" applyFont="1" applyFill="1" applyBorder="1"/>
    <xf numFmtId="0" fontId="10" fillId="13" borderId="5" xfId="0" applyFont="1" applyFill="1" applyBorder="1"/>
    <xf numFmtId="0" fontId="10" fillId="13" borderId="10" xfId="0" applyFont="1" applyFill="1" applyBorder="1"/>
    <xf numFmtId="0" fontId="3" fillId="13" borderId="7" xfId="0" applyFont="1" applyFill="1" applyBorder="1"/>
    <xf numFmtId="17" fontId="3" fillId="20" borderId="5" xfId="0" applyNumberFormat="1" applyFont="1" applyFill="1" applyBorder="1"/>
    <xf numFmtId="0" fontId="3" fillId="20" borderId="6" xfId="0" applyFont="1" applyFill="1" applyBorder="1"/>
    <xf numFmtId="0" fontId="3" fillId="24" borderId="5" xfId="0" applyFont="1" applyFill="1" applyBorder="1"/>
    <xf numFmtId="0" fontId="3" fillId="24" borderId="6" xfId="0" applyFont="1" applyFill="1" applyBorder="1"/>
    <xf numFmtId="17" fontId="3" fillId="22" borderId="5" xfId="0" applyNumberFormat="1" applyFont="1" applyFill="1" applyBorder="1"/>
    <xf numFmtId="0" fontId="3" fillId="22" borderId="6" xfId="0" applyFont="1" applyFill="1" applyBorder="1"/>
    <xf numFmtId="17" fontId="3" fillId="21" borderId="5" xfId="0" applyNumberFormat="1" applyFont="1" applyFill="1" applyBorder="1"/>
    <xf numFmtId="0" fontId="3" fillId="21" borderId="6" xfId="0" applyFont="1" applyFill="1" applyBorder="1"/>
    <xf numFmtId="17" fontId="3" fillId="18" borderId="5" xfId="0" applyNumberFormat="1" applyFont="1" applyFill="1" applyBorder="1"/>
    <xf numFmtId="0" fontId="3" fillId="18" borderId="6" xfId="0" applyFont="1" applyFill="1" applyBorder="1"/>
    <xf numFmtId="17" fontId="3" fillId="16" borderId="5" xfId="0" applyNumberFormat="1" applyFont="1" applyFill="1" applyBorder="1"/>
    <xf numFmtId="0" fontId="3" fillId="16" borderId="6" xfId="0" applyFont="1" applyFill="1" applyBorder="1"/>
    <xf numFmtId="17" fontId="3" fillId="17" borderId="10" xfId="0" applyNumberFormat="1" applyFont="1" applyFill="1" applyBorder="1"/>
    <xf numFmtId="0" fontId="3" fillId="17" borderId="17" xfId="0" applyFont="1" applyFill="1" applyBorder="1"/>
    <xf numFmtId="2" fontId="13" fillId="0" borderId="1" xfId="0" applyNumberFormat="1" applyFont="1" applyBorder="1"/>
    <xf numFmtId="0" fontId="13" fillId="0" borderId="1" xfId="0" applyFont="1" applyBorder="1"/>
    <xf numFmtId="2" fontId="0" fillId="0" borderId="0" xfId="0" applyNumberFormat="1"/>
    <xf numFmtId="14" fontId="12" fillId="0" borderId="1" xfId="0" applyNumberFormat="1" applyFont="1" applyFill="1" applyBorder="1"/>
    <xf numFmtId="0" fontId="5" fillId="3" borderId="33" xfId="0" applyFont="1" applyFill="1" applyBorder="1" applyAlignment="1" applyProtection="1">
      <alignment wrapText="1"/>
      <protection hidden="1"/>
    </xf>
    <xf numFmtId="0" fontId="5" fillId="23" borderId="1" xfId="0" applyFont="1" applyFill="1" applyBorder="1" applyAlignment="1" applyProtection="1">
      <alignment wrapText="1"/>
      <protection hidden="1"/>
    </xf>
    <xf numFmtId="0" fontId="4" fillId="23" borderId="1" xfId="0" applyFont="1" applyFill="1" applyBorder="1" applyAlignment="1" applyProtection="1">
      <alignment wrapText="1"/>
      <protection hidden="1"/>
    </xf>
    <xf numFmtId="0" fontId="3" fillId="23" borderId="1" xfId="0" applyFont="1" applyFill="1" applyBorder="1" applyAlignment="1" applyProtection="1">
      <alignment horizontal="center" wrapText="1"/>
      <protection hidden="1"/>
    </xf>
    <xf numFmtId="0" fontId="4" fillId="23" borderId="1" xfId="0" applyFont="1" applyFill="1" applyBorder="1" applyAlignment="1" applyProtection="1">
      <alignment horizontal="center" wrapText="1"/>
      <protection hidden="1"/>
    </xf>
    <xf numFmtId="0" fontId="3" fillId="25" borderId="0" xfId="0" applyFont="1" applyFill="1" applyProtection="1">
      <protection hidden="1"/>
    </xf>
    <xf numFmtId="0" fontId="4" fillId="25" borderId="0" xfId="0" applyFont="1" applyFill="1" applyProtection="1">
      <protection hidden="1"/>
    </xf>
    <xf numFmtId="0" fontId="3" fillId="25" borderId="11" xfId="0" applyFont="1" applyFill="1" applyBorder="1" applyProtection="1">
      <protection hidden="1"/>
    </xf>
    <xf numFmtId="0" fontId="3" fillId="25" borderId="0" xfId="0" applyFont="1" applyFill="1" applyAlignment="1" applyProtection="1">
      <alignment wrapText="1"/>
      <protection hidden="1"/>
    </xf>
    <xf numFmtId="0" fontId="3" fillId="25" borderId="0" xfId="0" applyFont="1" applyFill="1" applyBorder="1" applyProtection="1">
      <protection hidden="1"/>
    </xf>
    <xf numFmtId="0" fontId="3" fillId="26" borderId="0" xfId="0" applyFont="1" applyFill="1" applyProtection="1">
      <protection hidden="1"/>
    </xf>
    <xf numFmtId="0" fontId="4" fillId="26" borderId="0" xfId="0" applyFont="1" applyFill="1" applyProtection="1">
      <protection hidden="1"/>
    </xf>
    <xf numFmtId="0" fontId="3" fillId="26" borderId="11" xfId="0" applyFont="1" applyFill="1" applyBorder="1" applyProtection="1">
      <protection hidden="1"/>
    </xf>
    <xf numFmtId="0" fontId="3" fillId="26" borderId="0" xfId="0" applyFont="1" applyFill="1" applyAlignment="1" applyProtection="1">
      <alignment wrapText="1"/>
      <protection hidden="1"/>
    </xf>
    <xf numFmtId="0" fontId="3" fillId="26" borderId="0" xfId="0" applyFont="1" applyFill="1" applyBorder="1" applyProtection="1">
      <protection hidden="1"/>
    </xf>
    <xf numFmtId="17" fontId="3" fillId="26" borderId="5" xfId="0" applyNumberFormat="1" applyFont="1" applyFill="1" applyBorder="1"/>
    <xf numFmtId="0" fontId="3" fillId="26" borderId="6" xfId="0" applyFont="1" applyFill="1" applyBorder="1"/>
    <xf numFmtId="0" fontId="3" fillId="25" borderId="5" xfId="0" applyFont="1" applyFill="1" applyBorder="1"/>
    <xf numFmtId="0" fontId="3" fillId="25" borderId="6" xfId="0" applyFont="1" applyFill="1" applyBorder="1"/>
    <xf numFmtId="0" fontId="12" fillId="0" borderId="0" xfId="0" applyFont="1" applyBorder="1" applyAlignment="1">
      <alignment horizontal="center"/>
    </xf>
    <xf numFmtId="2" fontId="0" fillId="0" borderId="1" xfId="0" applyNumberFormat="1" applyBorder="1"/>
    <xf numFmtId="3" fontId="3" fillId="0" borderId="4" xfId="0" applyNumberFormat="1" applyFont="1" applyFill="1" applyBorder="1" applyProtection="1">
      <protection hidden="1"/>
    </xf>
    <xf numFmtId="3" fontId="3" fillId="0" borderId="2" xfId="0" applyNumberFormat="1" applyFont="1" applyFill="1" applyBorder="1" applyProtection="1">
      <protection hidden="1"/>
    </xf>
    <xf numFmtId="0" fontId="1" fillId="2" borderId="0" xfId="0" applyFont="1" applyFill="1" applyAlignment="1">
      <alignment horizontal="center" wrapText="1"/>
    </xf>
    <xf numFmtId="0" fontId="3" fillId="27" borderId="0" xfId="0" applyFont="1" applyFill="1" applyProtection="1">
      <protection hidden="1"/>
    </xf>
    <xf numFmtId="0" fontId="4" fillId="27" borderId="0" xfId="0" applyFont="1" applyFill="1" applyProtection="1">
      <protection hidden="1"/>
    </xf>
    <xf numFmtId="0" fontId="3" fillId="27" borderId="11" xfId="0" applyFont="1" applyFill="1" applyBorder="1" applyProtection="1">
      <protection hidden="1"/>
    </xf>
    <xf numFmtId="0" fontId="3" fillId="27" borderId="0" xfId="0" applyFont="1" applyFill="1" applyAlignment="1" applyProtection="1">
      <alignment wrapText="1"/>
      <protection hidden="1"/>
    </xf>
    <xf numFmtId="0" fontId="3" fillId="27" borderId="0" xfId="0" applyFont="1" applyFill="1" applyBorder="1" applyProtection="1">
      <protection hidden="1"/>
    </xf>
    <xf numFmtId="0" fontId="3" fillId="27" borderId="5" xfId="0" applyFont="1" applyFill="1" applyBorder="1"/>
    <xf numFmtId="0" fontId="3" fillId="27" borderId="6" xfId="0" applyFont="1" applyFill="1" applyBorder="1"/>
    <xf numFmtId="0" fontId="16" fillId="0" borderId="1" xfId="1" applyBorder="1" applyAlignment="1">
      <alignment horizontal="left"/>
    </xf>
    <xf numFmtId="2" fontId="17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8" borderId="0" xfId="0" applyFont="1" applyFill="1" applyProtection="1">
      <protection hidden="1"/>
    </xf>
    <xf numFmtId="0" fontId="4" fillId="28" borderId="0" xfId="0" applyFont="1" applyFill="1" applyProtection="1">
      <protection hidden="1"/>
    </xf>
    <xf numFmtId="0" fontId="3" fillId="28" borderId="11" xfId="0" applyFont="1" applyFill="1" applyBorder="1" applyProtection="1">
      <protection hidden="1"/>
    </xf>
    <xf numFmtId="0" fontId="3" fillId="28" borderId="0" xfId="0" applyFont="1" applyFill="1" applyAlignment="1" applyProtection="1">
      <alignment wrapText="1"/>
      <protection hidden="1"/>
    </xf>
    <xf numFmtId="0" fontId="3" fillId="28" borderId="0" xfId="0" applyFont="1" applyFill="1" applyBorder="1" applyProtection="1">
      <protection hidden="1"/>
    </xf>
    <xf numFmtId="2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0" fontId="3" fillId="28" borderId="0" xfId="0" applyFont="1" applyFill="1" applyBorder="1" applyAlignment="1" applyProtection="1">
      <alignment wrapText="1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0" fontId="3" fillId="0" borderId="17" xfId="0" applyFont="1" applyFill="1" applyBorder="1" applyAlignment="1" applyProtection="1">
      <alignment horizontal="center"/>
      <protection hidden="1"/>
    </xf>
    <xf numFmtId="0" fontId="3" fillId="28" borderId="5" xfId="0" applyFont="1" applyFill="1" applyBorder="1"/>
    <xf numFmtId="0" fontId="3" fillId="28" borderId="6" xfId="0" applyFont="1" applyFill="1" applyBorder="1"/>
    <xf numFmtId="0" fontId="3" fillId="16" borderId="0" xfId="0" applyFont="1" applyFill="1" applyBorder="1" applyAlignment="1" applyProtection="1">
      <alignment wrapText="1"/>
      <protection hidden="1"/>
    </xf>
    <xf numFmtId="0" fontId="0" fillId="0" borderId="0" xfId="0" applyBorder="1"/>
    <xf numFmtId="0" fontId="12" fillId="0" borderId="1" xfId="2" applyFont="1" applyBorder="1"/>
    <xf numFmtId="14" fontId="12" fillId="0" borderId="1" xfId="2" applyNumberFormat="1" applyFont="1" applyBorder="1"/>
    <xf numFmtId="14" fontId="12" fillId="0" borderId="1" xfId="2" applyNumberFormat="1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2" fontId="12" fillId="0" borderId="1" xfId="2" applyNumberFormat="1" applyFont="1" applyBorder="1"/>
    <xf numFmtId="2" fontId="13" fillId="0" borderId="1" xfId="2" applyNumberFormat="1" applyFont="1" applyBorder="1"/>
    <xf numFmtId="1" fontId="12" fillId="0" borderId="1" xfId="2" applyNumberFormat="1" applyFont="1" applyBorder="1"/>
    <xf numFmtId="0" fontId="13" fillId="0" borderId="1" xfId="2" applyFont="1" applyBorder="1"/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0" fontId="12" fillId="0" borderId="0" xfId="2" applyFont="1"/>
    <xf numFmtId="2" fontId="12" fillId="0" borderId="1" xfId="2" applyNumberFormat="1" applyFont="1" applyBorder="1" applyAlignment="1">
      <alignment horizontal="center"/>
    </xf>
    <xf numFmtId="0" fontId="3" fillId="16" borderId="5" xfId="0" applyFont="1" applyFill="1" applyBorder="1"/>
    <xf numFmtId="0" fontId="3" fillId="20" borderId="0" xfId="0" applyFont="1" applyFill="1" applyBorder="1" applyAlignment="1" applyProtection="1">
      <alignment wrapText="1"/>
      <protection hidden="1"/>
    </xf>
    <xf numFmtId="0" fontId="3" fillId="20" borderId="5" xfId="0" applyFont="1" applyFill="1" applyBorder="1"/>
    <xf numFmtId="0" fontId="13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right"/>
    </xf>
    <xf numFmtId="0" fontId="12" fillId="0" borderId="0" xfId="0" applyFont="1"/>
    <xf numFmtId="2" fontId="12" fillId="0" borderId="1" xfId="0" applyNumberFormat="1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wrapText="1"/>
      <protection hidden="1"/>
    </xf>
    <xf numFmtId="3" fontId="4" fillId="0" borderId="30" xfId="0" applyNumberFormat="1" applyFont="1" applyFill="1" applyBorder="1" applyProtection="1">
      <protection hidden="1"/>
    </xf>
    <xf numFmtId="3" fontId="4" fillId="0" borderId="16" xfId="0" applyNumberFormat="1" applyFont="1" applyFill="1" applyBorder="1" applyProtection="1">
      <protection hidden="1"/>
    </xf>
    <xf numFmtId="3" fontId="4" fillId="0" borderId="15" xfId="0" applyNumberFormat="1" applyFont="1" applyFill="1" applyBorder="1" applyProtection="1">
      <protection hidden="1"/>
    </xf>
  </cellXfs>
  <cellStyles count="3">
    <cellStyle name="Hyperlink" xfId="1" builtinId="8"/>
    <cellStyle name="Normal" xfId="0" builtinId="0"/>
    <cellStyle name="Normal 2" xfId="2" xr:uid="{69525F0B-986A-FF4A-9F64-75FE59089EF4}"/>
  </cellStyles>
  <dxfs count="0"/>
  <tableStyles count="0" defaultTableStyle="TableStyleMedium9" defaultPivotStyle="PivotStyleMedium7"/>
  <colors>
    <mruColors>
      <color rgb="FFCD7B93"/>
      <color rgb="FFFFA9A6"/>
      <color rgb="FFFFFF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5</xdr:col>
      <xdr:colOff>876300</xdr:colOff>
      <xdr:row>48</xdr:row>
      <xdr:rowOff>81400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6500"/>
          <a:ext cx="5956300" cy="36501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8</xdr:col>
      <xdr:colOff>1103554</xdr:colOff>
      <xdr:row>8</xdr:row>
      <xdr:rowOff>63500</xdr:rowOff>
    </xdr:to>
    <xdr:pic>
      <xdr:nvPicPr>
        <xdr:cNvPr id="3" name="Picture 2" descr="ECA final logo RGB 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5300" y="342900"/>
          <a:ext cx="3008554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www.energymadeeasy.gov.au/plan?id=FXP13753MBE1&amp;postcode=7000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51"/>
  <sheetViews>
    <sheetView tabSelected="1" workbookViewId="0">
      <selection activeCell="B10" sqref="B10"/>
    </sheetView>
  </sheetViews>
  <sheetFormatPr baseColWidth="10" defaultRowHeight="14" x14ac:dyDescent="0.15"/>
  <cols>
    <col min="1" max="2" width="10.83203125" style="40"/>
    <col min="3" max="3" width="16" style="40" customWidth="1"/>
    <col min="4" max="4" width="18.1640625" style="40" customWidth="1"/>
    <col min="5" max="5" width="10.83203125" style="40"/>
    <col min="6" max="6" width="23.6640625" style="40" customWidth="1"/>
    <col min="7" max="8" width="10.83203125" style="40"/>
    <col min="9" max="9" width="16" style="40" customWidth="1"/>
    <col min="10" max="13" width="10.83203125" style="40"/>
    <col min="14" max="14" width="14.6640625" style="40" customWidth="1"/>
    <col min="15" max="16" width="10.83203125" style="40"/>
    <col min="17" max="17" width="16" style="40" customWidth="1"/>
    <col min="18" max="18" width="17" style="40" customWidth="1"/>
    <col min="19" max="16384" width="10.83203125" style="40"/>
  </cols>
  <sheetData>
    <row r="1" spans="1:18" x14ac:dyDescent="0.15">
      <c r="A1" s="39" t="s">
        <v>249</v>
      </c>
    </row>
    <row r="2" spans="1:18" ht="15" thickBot="1" x14ac:dyDescent="0.2">
      <c r="A2" s="41" t="s">
        <v>101</v>
      </c>
      <c r="B2" s="41"/>
      <c r="C2" s="41"/>
    </row>
    <row r="3" spans="1:18" x14ac:dyDescent="0.15">
      <c r="A3" s="41" t="s">
        <v>43</v>
      </c>
      <c r="B3" s="41"/>
      <c r="C3" s="41"/>
      <c r="J3" s="42" t="s">
        <v>102</v>
      </c>
      <c r="K3" s="33"/>
      <c r="L3" s="33"/>
      <c r="M3" s="33"/>
      <c r="N3" s="43"/>
      <c r="O3" s="43"/>
      <c r="P3" s="43"/>
      <c r="Q3" s="33"/>
      <c r="R3" s="225"/>
    </row>
    <row r="4" spans="1:18" x14ac:dyDescent="0.15">
      <c r="J4" s="35" t="s">
        <v>103</v>
      </c>
      <c r="K4" s="34"/>
      <c r="L4" s="34"/>
      <c r="M4" s="34"/>
      <c r="N4" s="34"/>
      <c r="O4" s="34"/>
      <c r="P4" s="34"/>
      <c r="Q4" s="34"/>
      <c r="R4" s="226"/>
    </row>
    <row r="5" spans="1:18" x14ac:dyDescent="0.15">
      <c r="A5" s="44" t="s">
        <v>273</v>
      </c>
      <c r="F5" s="45"/>
      <c r="G5" s="45"/>
      <c r="H5" s="45"/>
      <c r="I5" s="45"/>
      <c r="J5" s="35" t="s">
        <v>14</v>
      </c>
      <c r="K5" s="34"/>
      <c r="L5" s="34"/>
      <c r="M5" s="34"/>
      <c r="N5" s="34"/>
      <c r="O5" s="34"/>
      <c r="P5" s="34"/>
      <c r="Q5" s="34"/>
      <c r="R5" s="226"/>
    </row>
    <row r="6" spans="1:18" x14ac:dyDescent="0.15">
      <c r="A6" s="40" t="s">
        <v>15</v>
      </c>
      <c r="F6" s="45"/>
      <c r="G6" s="45"/>
      <c r="H6" s="45"/>
      <c r="I6" s="45"/>
      <c r="J6" s="35" t="s">
        <v>16</v>
      </c>
      <c r="K6" s="34"/>
      <c r="L6" s="34"/>
      <c r="M6" s="34"/>
      <c r="N6" s="34"/>
      <c r="O6" s="34"/>
      <c r="P6" s="34"/>
      <c r="Q6" s="34"/>
      <c r="R6" s="226"/>
    </row>
    <row r="7" spans="1:18" x14ac:dyDescent="0.15">
      <c r="A7" s="40" t="s">
        <v>44</v>
      </c>
      <c r="F7" s="45"/>
      <c r="G7" s="45"/>
      <c r="H7" s="45"/>
      <c r="I7" s="45"/>
      <c r="J7" s="35" t="s">
        <v>47</v>
      </c>
      <c r="K7" s="34"/>
      <c r="L7" s="34"/>
      <c r="M7" s="34"/>
      <c r="N7" s="46"/>
      <c r="O7" s="46"/>
      <c r="P7" s="46"/>
      <c r="Q7" s="34"/>
      <c r="R7" s="226"/>
    </row>
    <row r="8" spans="1:18" x14ac:dyDescent="0.15">
      <c r="F8" s="45"/>
      <c r="G8" s="45"/>
      <c r="H8" s="47"/>
      <c r="I8" s="45"/>
      <c r="J8" s="35" t="s">
        <v>0</v>
      </c>
      <c r="K8" s="34"/>
      <c r="L8" s="34"/>
      <c r="M8" s="34"/>
      <c r="N8" s="46"/>
      <c r="O8" s="46"/>
      <c r="P8" s="46"/>
      <c r="Q8" s="34"/>
      <c r="R8" s="226"/>
    </row>
    <row r="9" spans="1:18" x14ac:dyDescent="0.15">
      <c r="A9" s="48"/>
      <c r="F9" s="45"/>
      <c r="G9" s="45"/>
      <c r="H9" s="45"/>
      <c r="I9" s="45"/>
      <c r="J9" s="35" t="s">
        <v>1</v>
      </c>
      <c r="K9" s="34"/>
      <c r="L9" s="34"/>
      <c r="M9" s="34"/>
      <c r="N9" s="46"/>
      <c r="O9" s="46"/>
      <c r="P9" s="46"/>
      <c r="Q9" s="34"/>
      <c r="R9" s="226"/>
    </row>
    <row r="10" spans="1:18" x14ac:dyDescent="0.15">
      <c r="A10" s="44" t="s">
        <v>2</v>
      </c>
      <c r="F10" s="45"/>
      <c r="G10" s="45"/>
      <c r="I10" s="45"/>
      <c r="J10" s="35" t="s">
        <v>3</v>
      </c>
      <c r="K10" s="34"/>
      <c r="L10" s="34"/>
      <c r="M10" s="34"/>
      <c r="N10" s="49"/>
      <c r="O10" s="49"/>
      <c r="P10" s="49"/>
      <c r="Q10" s="34"/>
      <c r="R10" s="226"/>
    </row>
    <row r="11" spans="1:18" ht="15" thickBot="1" x14ac:dyDescent="0.2">
      <c r="A11" s="40" t="s">
        <v>218</v>
      </c>
      <c r="F11" s="45"/>
      <c r="G11" s="45"/>
      <c r="I11" s="45"/>
      <c r="J11" s="50" t="s">
        <v>4</v>
      </c>
      <c r="K11" s="51"/>
      <c r="L11" s="51"/>
      <c r="M11" s="51"/>
      <c r="N11" s="52"/>
      <c r="O11" s="52"/>
      <c r="P11" s="52"/>
      <c r="Q11" s="51"/>
      <c r="R11" s="227"/>
    </row>
    <row r="12" spans="1:18" x14ac:dyDescent="0.15">
      <c r="A12" s="40" t="s">
        <v>309</v>
      </c>
      <c r="F12" s="45"/>
      <c r="G12" s="45"/>
      <c r="I12" s="45"/>
    </row>
    <row r="13" spans="1:18" ht="15" thickBot="1" x14ac:dyDescent="0.2">
      <c r="A13" s="40" t="s">
        <v>5</v>
      </c>
      <c r="F13" s="45"/>
      <c r="G13" s="45"/>
      <c r="I13" s="45"/>
    </row>
    <row r="14" spans="1:18" x14ac:dyDescent="0.15">
      <c r="F14" s="45"/>
      <c r="G14" s="45"/>
      <c r="H14" s="45"/>
      <c r="I14" s="45"/>
      <c r="J14" s="228" t="s">
        <v>46</v>
      </c>
      <c r="K14" s="229"/>
    </row>
    <row r="15" spans="1:18" x14ac:dyDescent="0.15">
      <c r="A15" s="40" t="s">
        <v>6</v>
      </c>
      <c r="F15" s="45"/>
      <c r="G15" s="45"/>
      <c r="H15" s="45"/>
      <c r="I15" s="45"/>
      <c r="J15" s="230" t="s">
        <v>223</v>
      </c>
      <c r="K15" s="226"/>
    </row>
    <row r="16" spans="1:18" x14ac:dyDescent="0.15">
      <c r="A16" s="40" t="s">
        <v>7</v>
      </c>
      <c r="E16" s="53"/>
      <c r="F16" s="45"/>
      <c r="G16" s="45"/>
      <c r="H16" s="45"/>
      <c r="I16" s="45"/>
      <c r="J16" s="230" t="s">
        <v>207</v>
      </c>
      <c r="K16" s="226"/>
    </row>
    <row r="17" spans="1:12" x14ac:dyDescent="0.15">
      <c r="A17" s="45"/>
      <c r="F17" s="45"/>
      <c r="G17" s="45"/>
      <c r="H17" s="45"/>
      <c r="I17" s="45"/>
      <c r="J17" s="230" t="s">
        <v>320</v>
      </c>
      <c r="K17" s="226"/>
    </row>
    <row r="18" spans="1:12" ht="15" thickBot="1" x14ac:dyDescent="0.2">
      <c r="A18" s="40" t="s">
        <v>37</v>
      </c>
      <c r="F18" s="45"/>
      <c r="G18" s="45"/>
      <c r="H18" s="45"/>
      <c r="I18" s="45"/>
      <c r="J18" s="231" t="s">
        <v>280</v>
      </c>
      <c r="K18" s="227"/>
      <c r="L18" s="45"/>
    </row>
    <row r="19" spans="1:12" x14ac:dyDescent="0.15">
      <c r="A19" s="40" t="s">
        <v>38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1:12" x14ac:dyDescent="0.15">
      <c r="A20" s="40" t="s">
        <v>39</v>
      </c>
      <c r="F20" s="45"/>
      <c r="G20" s="45"/>
      <c r="H20" s="45"/>
      <c r="I20" s="45"/>
      <c r="J20" s="45"/>
      <c r="K20" s="45"/>
    </row>
    <row r="21" spans="1:12" ht="15" thickBot="1" x14ac:dyDescent="0.2">
      <c r="A21" s="40" t="s">
        <v>45</v>
      </c>
      <c r="F21" s="45"/>
      <c r="G21" s="45"/>
      <c r="H21" s="45"/>
      <c r="I21" s="45"/>
      <c r="J21" s="45"/>
      <c r="K21" s="45"/>
    </row>
    <row r="22" spans="1:12" x14ac:dyDescent="0.15">
      <c r="A22" s="40" t="s">
        <v>40</v>
      </c>
      <c r="F22" s="45"/>
      <c r="G22" s="45"/>
      <c r="H22" s="45"/>
      <c r="I22" s="45"/>
      <c r="J22" s="232" t="s">
        <v>132</v>
      </c>
      <c r="K22" s="225"/>
    </row>
    <row r="23" spans="1:12" x14ac:dyDescent="0.15">
      <c r="B23" s="45"/>
      <c r="C23" s="45"/>
      <c r="D23" s="45"/>
      <c r="E23" s="45"/>
      <c r="F23" s="45"/>
      <c r="G23" s="45"/>
      <c r="H23" s="45"/>
      <c r="I23" s="45"/>
      <c r="J23" s="316" t="s">
        <v>161</v>
      </c>
      <c r="K23" s="234">
        <v>2022</v>
      </c>
    </row>
    <row r="24" spans="1:12" x14ac:dyDescent="0.15">
      <c r="A24" s="40" t="s">
        <v>41</v>
      </c>
      <c r="B24" s="45"/>
      <c r="C24" s="45"/>
      <c r="D24" s="45"/>
      <c r="E24" s="45"/>
      <c r="F24" s="45"/>
      <c r="G24" s="45"/>
      <c r="H24" s="45"/>
      <c r="I24" s="45"/>
      <c r="J24" s="314" t="s">
        <v>133</v>
      </c>
      <c r="K24" s="244">
        <v>2022</v>
      </c>
    </row>
    <row r="25" spans="1:12" x14ac:dyDescent="0.15">
      <c r="A25" s="40" t="s">
        <v>42</v>
      </c>
      <c r="B25" s="45"/>
      <c r="C25" s="45"/>
      <c r="D25" s="45"/>
      <c r="E25" s="45"/>
      <c r="F25" s="45"/>
      <c r="G25" s="45"/>
      <c r="H25" s="45"/>
      <c r="I25" s="45"/>
      <c r="J25" s="298" t="s">
        <v>161</v>
      </c>
      <c r="K25" s="299">
        <v>2021</v>
      </c>
    </row>
    <row r="26" spans="1:12" x14ac:dyDescent="0.15">
      <c r="B26" s="45"/>
      <c r="C26" s="45"/>
      <c r="D26" s="45"/>
      <c r="E26" s="45"/>
      <c r="F26" s="45"/>
      <c r="G26" s="45"/>
      <c r="H26" s="45"/>
      <c r="I26" s="45"/>
      <c r="J26" s="280" t="s">
        <v>133</v>
      </c>
      <c r="K26" s="281">
        <v>2021</v>
      </c>
    </row>
    <row r="27" spans="1:12" x14ac:dyDescent="0.15">
      <c r="E27" s="45"/>
      <c r="F27" s="45"/>
      <c r="G27" s="45"/>
      <c r="H27" s="45"/>
      <c r="I27" s="45"/>
      <c r="J27" s="268" t="s">
        <v>161</v>
      </c>
      <c r="K27" s="269">
        <v>2020</v>
      </c>
    </row>
    <row r="28" spans="1:12" x14ac:dyDescent="0.15">
      <c r="E28" s="45"/>
      <c r="F28" s="45"/>
      <c r="G28" s="45"/>
      <c r="H28" s="45"/>
      <c r="I28" s="45"/>
      <c r="J28" s="266" t="s">
        <v>133</v>
      </c>
      <c r="K28" s="267">
        <v>2020</v>
      </c>
    </row>
    <row r="29" spans="1:12" x14ac:dyDescent="0.15">
      <c r="E29" s="45"/>
      <c r="F29" s="45"/>
      <c r="G29" s="45"/>
      <c r="H29" s="45"/>
      <c r="I29" s="45"/>
      <c r="J29" s="235" t="s">
        <v>161</v>
      </c>
      <c r="K29" s="236">
        <v>2019</v>
      </c>
    </row>
    <row r="30" spans="1:12" x14ac:dyDescent="0.15">
      <c r="E30" s="45"/>
      <c r="F30" s="45"/>
      <c r="G30" s="45"/>
      <c r="H30" s="45"/>
      <c r="I30" s="45"/>
      <c r="J30" s="237" t="s">
        <v>133</v>
      </c>
      <c r="K30" s="238">
        <v>2019</v>
      </c>
    </row>
    <row r="31" spans="1:12" x14ac:dyDescent="0.15">
      <c r="E31" s="45"/>
      <c r="F31" s="45"/>
      <c r="G31" s="45"/>
      <c r="H31" s="45"/>
      <c r="I31" s="45"/>
      <c r="J31" s="239" t="s">
        <v>161</v>
      </c>
      <c r="K31" s="240">
        <v>2018</v>
      </c>
    </row>
    <row r="32" spans="1:12" x14ac:dyDescent="0.15">
      <c r="E32" s="45"/>
      <c r="F32" s="45"/>
      <c r="G32" s="45"/>
      <c r="H32" s="45"/>
      <c r="I32" s="45"/>
      <c r="J32" s="233" t="s">
        <v>133</v>
      </c>
      <c r="K32" s="234">
        <v>2018</v>
      </c>
    </row>
    <row r="33" spans="5:11" x14ac:dyDescent="0.15">
      <c r="E33" s="45"/>
      <c r="F33" s="45"/>
      <c r="G33" s="45"/>
      <c r="H33" s="45"/>
      <c r="I33" s="45"/>
      <c r="J33" s="241" t="s">
        <v>161</v>
      </c>
      <c r="K33" s="242">
        <v>2017</v>
      </c>
    </row>
    <row r="34" spans="5:11" x14ac:dyDescent="0.15">
      <c r="E34" s="45"/>
      <c r="F34" s="45"/>
      <c r="G34" s="45"/>
      <c r="H34" s="45"/>
      <c r="I34" s="45"/>
      <c r="J34" s="243" t="s">
        <v>133</v>
      </c>
      <c r="K34" s="244">
        <v>2017</v>
      </c>
    </row>
    <row r="35" spans="5:11" ht="15" thickBot="1" x14ac:dyDescent="0.2">
      <c r="J35" s="245" t="s">
        <v>133</v>
      </c>
      <c r="K35" s="246">
        <v>2016</v>
      </c>
    </row>
    <row r="51" spans="1:1" x14ac:dyDescent="0.15">
      <c r="A51" s="40" t="s">
        <v>134</v>
      </c>
    </row>
  </sheetData>
  <sheetProtection algorithmName="SHA-512" hashValue="PPsTjlC6DugB4phyIKwRvGaTGryCXCXAcAXYnGvMEvZjv/Mycc5vGeo/yG0C1dIZfaNDPkRYTlim60FQgIrC4w==" saltValue="pmRii2JqvKKTVwV79igdYw==" spinCount="100000" sheet="1" objects="1" scenarios="1"/>
  <sortState xmlns:xlrd2="http://schemas.microsoft.com/office/spreadsheetml/2017/richdata2" ref="J15:J20">
    <sortCondition ref="J15:J20"/>
  </sortState>
  <phoneticPr fontId="2" type="noConversion"/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A109-F19F-BF4F-B463-921A19F90958}">
  <sheetPr codeName="Sheet5">
    <tabColor theme="0" tint="-0.34998626667073579"/>
  </sheetPr>
  <dimension ref="A1:AW71"/>
  <sheetViews>
    <sheetView zoomScaleNormal="100" zoomScalePageLayoutView="120" workbookViewId="0">
      <selection activeCell="D26" sqref="D26"/>
    </sheetView>
  </sheetViews>
  <sheetFormatPr baseColWidth="10" defaultRowHeight="13" x14ac:dyDescent="0.15"/>
  <cols>
    <col min="1" max="1" width="20.33203125" style="118" customWidth="1"/>
    <col min="2" max="2" width="13.5" style="118" customWidth="1"/>
    <col min="3" max="20" width="12.1640625" style="118" customWidth="1"/>
    <col min="21" max="49" width="7.5" style="118" customWidth="1"/>
    <col min="50" max="16384" width="10.83203125" style="118"/>
  </cols>
  <sheetData>
    <row r="1" spans="1:49" ht="14" x14ac:dyDescent="0.15">
      <c r="A1" s="117" t="s">
        <v>149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</row>
    <row r="2" spans="1:49" ht="14" x14ac:dyDescent="0.15">
      <c r="A2" s="119" t="s">
        <v>48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</row>
    <row r="3" spans="1:49" ht="15" thickBot="1" x14ac:dyDescent="0.2">
      <c r="A3" s="117"/>
      <c r="B3" s="117"/>
      <c r="C3" s="117"/>
      <c r="D3" s="117"/>
      <c r="E3" s="117"/>
      <c r="F3" s="117"/>
      <c r="G3" s="120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</row>
    <row r="4" spans="1:49" ht="14" x14ac:dyDescent="0.15">
      <c r="A4" s="62" t="s">
        <v>13</v>
      </c>
      <c r="B4" s="63"/>
      <c r="C4" s="63"/>
      <c r="D4" s="63"/>
      <c r="E4" s="63"/>
      <c r="F4" s="63"/>
      <c r="G4" s="64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5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</row>
    <row r="5" spans="1:49" ht="14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</row>
    <row r="6" spans="1:49" ht="14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</row>
    <row r="7" spans="1:49" ht="75" x14ac:dyDescent="0.15">
      <c r="A7" s="146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1" t="s">
        <v>84</v>
      </c>
      <c r="G7" s="141" t="s">
        <v>85</v>
      </c>
      <c r="H7" s="141" t="s">
        <v>86</v>
      </c>
      <c r="I7" s="141" t="s">
        <v>87</v>
      </c>
      <c r="J7" s="142" t="s">
        <v>61</v>
      </c>
      <c r="K7" s="143" t="s">
        <v>62</v>
      </c>
      <c r="L7" s="143" t="s">
        <v>63</v>
      </c>
      <c r="M7" s="143" t="s">
        <v>64</v>
      </c>
      <c r="N7" s="143" t="s">
        <v>65</v>
      </c>
      <c r="O7" s="144" t="s">
        <v>66</v>
      </c>
      <c r="P7" s="144" t="s">
        <v>67</v>
      </c>
      <c r="Q7" s="144" t="s">
        <v>25</v>
      </c>
      <c r="R7" s="144" t="s">
        <v>26</v>
      </c>
      <c r="S7" s="143" t="s">
        <v>68</v>
      </c>
      <c r="T7" s="145" t="s">
        <v>95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</row>
    <row r="8" spans="1:49" ht="15" thickBot="1" x14ac:dyDescent="0.2">
      <c r="A8" s="163" t="str">
        <f>'TAS Oct 2018'!K2</f>
        <v>Aurora Energy</v>
      </c>
      <c r="B8" s="164" t="str">
        <f>'TAS Oct 2018'!L2</f>
        <v>Regulated</v>
      </c>
      <c r="C8" s="165">
        <f>91*'TAS Oct 2018'!M2/100</f>
        <v>84.320599999999999</v>
      </c>
      <c r="D8" s="165">
        <f>IF($C$5&gt;='TAS Oct 2018'!P2,('TAS Oct 2018'!P2*'TAS Oct 2018'!N2/100),('TAS Bills October 2018'!$C$5*'TAS Oct 2018'!N2/100))</f>
        <v>153.92500000000001</v>
      </c>
      <c r="E8" s="165">
        <v>0</v>
      </c>
      <c r="F8" s="166">
        <v>0</v>
      </c>
      <c r="G8" s="167">
        <v>0</v>
      </c>
      <c r="H8" s="168">
        <f>IF(($C$5&lt;'TAS Oct 2018'!P2),(0),('TAS Bills October 2018'!$C$5-'TAS Oct 2018'!P2)*'TAS Oct 2018'!Q2/100)</f>
        <v>1024.83</v>
      </c>
      <c r="I8" s="169">
        <f>SUM(C8:H8)</f>
        <v>1263.0755999999999</v>
      </c>
      <c r="J8" s="170">
        <f>I8*4</f>
        <v>5052.3023999999996</v>
      </c>
      <c r="K8" s="171">
        <v>0</v>
      </c>
      <c r="L8" s="171">
        <f>'TAS Oct 2018'!AY2</f>
        <v>0</v>
      </c>
      <c r="M8" s="171">
        <f>'TAS Oct 2018'!AZ2</f>
        <v>0</v>
      </c>
      <c r="N8" s="171">
        <f>'TAS Oct 2018'!BA2</f>
        <v>0</v>
      </c>
      <c r="O8" s="170">
        <f>J8</f>
        <v>5052.3023999999996</v>
      </c>
      <c r="P8" s="170">
        <f>O8-(O8*M8/100)</f>
        <v>5052.3023999999996</v>
      </c>
      <c r="Q8" s="170">
        <f>O8*1.1</f>
        <v>5557.5326400000004</v>
      </c>
      <c r="R8" s="170">
        <f>P8*1.1</f>
        <v>5557.5326400000004</v>
      </c>
      <c r="S8" s="172">
        <f>'TAS Oct 2018'!BH2</f>
        <v>0</v>
      </c>
      <c r="T8" s="173">
        <f>'TAS Oct 2018'!BI2</f>
        <v>0</v>
      </c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</row>
    <row r="9" spans="1:49" ht="14" x14ac:dyDescent="0.15"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</row>
    <row r="10" spans="1:49" ht="15" thickBot="1" x14ac:dyDescent="0.2"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</row>
    <row r="11" spans="1:49" ht="14" x14ac:dyDescent="0.15">
      <c r="A11" s="62" t="s">
        <v>96</v>
      </c>
      <c r="B11" s="63"/>
      <c r="C11" s="63"/>
      <c r="D11" s="79"/>
      <c r="E11" s="79"/>
      <c r="F11" s="79"/>
      <c r="G11" s="79"/>
      <c r="H11" s="79"/>
      <c r="I11" s="80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5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</row>
    <row r="12" spans="1:49" ht="14" x14ac:dyDescent="0.15">
      <c r="A12" s="66" t="s">
        <v>79</v>
      </c>
      <c r="B12" s="64"/>
      <c r="C12" s="85">
        <v>5000</v>
      </c>
      <c r="D12" s="81"/>
      <c r="E12" s="81"/>
      <c r="F12" s="81"/>
      <c r="G12" s="81"/>
      <c r="H12" s="81"/>
      <c r="I12" s="82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7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</row>
    <row r="13" spans="1:49" ht="14" x14ac:dyDescent="0.15">
      <c r="A13" s="66" t="s">
        <v>97</v>
      </c>
      <c r="B13" s="64"/>
      <c r="C13" s="86">
        <v>0.7</v>
      </c>
      <c r="D13" s="81"/>
      <c r="E13" s="81"/>
      <c r="F13" s="81"/>
      <c r="G13" s="81"/>
      <c r="H13" s="81"/>
      <c r="I13" s="82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7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</row>
    <row r="14" spans="1:49" ht="14" x14ac:dyDescent="0.15">
      <c r="A14" s="66" t="s">
        <v>148</v>
      </c>
      <c r="B14" s="64"/>
      <c r="C14" s="86">
        <v>0.3</v>
      </c>
      <c r="D14" s="81"/>
      <c r="E14" s="81"/>
      <c r="F14" s="81"/>
      <c r="G14" s="81"/>
      <c r="H14" s="81"/>
      <c r="I14" s="82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7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</row>
    <row r="15" spans="1:49" ht="14" x14ac:dyDescent="0.15">
      <c r="A15" s="66"/>
      <c r="B15" s="64"/>
      <c r="C15" s="81"/>
      <c r="D15" s="81"/>
      <c r="E15" s="81"/>
      <c r="F15" s="81"/>
      <c r="G15" s="81"/>
      <c r="H15" s="81"/>
      <c r="I15" s="82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7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</row>
    <row r="16" spans="1:49" ht="75" x14ac:dyDescent="0.15">
      <c r="A16" s="146" t="s">
        <v>73</v>
      </c>
      <c r="B16" s="147" t="s">
        <v>80</v>
      </c>
      <c r="C16" s="141" t="s">
        <v>81</v>
      </c>
      <c r="D16" s="141" t="s">
        <v>82</v>
      </c>
      <c r="E16" s="141" t="s">
        <v>83</v>
      </c>
      <c r="F16" s="141" t="s">
        <v>84</v>
      </c>
      <c r="G16" s="141" t="s">
        <v>86</v>
      </c>
      <c r="H16" s="141" t="s">
        <v>96</v>
      </c>
      <c r="I16" s="141" t="s">
        <v>87</v>
      </c>
      <c r="J16" s="142" t="s">
        <v>61</v>
      </c>
      <c r="K16" s="143" t="s">
        <v>62</v>
      </c>
      <c r="L16" s="143" t="s">
        <v>63</v>
      </c>
      <c r="M16" s="143" t="s">
        <v>64</v>
      </c>
      <c r="N16" s="143" t="s">
        <v>65</v>
      </c>
      <c r="O16" s="144" t="s">
        <v>66</v>
      </c>
      <c r="P16" s="144" t="s">
        <v>67</v>
      </c>
      <c r="Q16" s="144" t="s">
        <v>25</v>
      </c>
      <c r="R16" s="144" t="s">
        <v>26</v>
      </c>
      <c r="S16" s="143" t="s">
        <v>68</v>
      </c>
      <c r="T16" s="145" t="s">
        <v>95</v>
      </c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</row>
    <row r="17" spans="1:49" ht="15" thickBot="1" x14ac:dyDescent="0.2">
      <c r="A17" s="163" t="str">
        <f>'TAS Oct 2018'!K3</f>
        <v>Aurora Energy</v>
      </c>
      <c r="B17" s="164" t="str">
        <f>'TAS Oct 2018'!L3</f>
        <v>Regulated</v>
      </c>
      <c r="C17" s="165">
        <f>91*'TAS Oct 2018'!M3/100</f>
        <v>99.437520000000006</v>
      </c>
      <c r="D17" s="165">
        <f>IF(($C$12*$C$13)&gt;='TAS Oct 2018'!P3,('TAS Oct 2018'!P3*'TAS Oct 2018'!N3/100),(('TAS Bills October 2018'!$C$12*'TAS Bills October 2018'!$C$13)*'TAS Oct 2018'!N3/100))</f>
        <v>153.92500000000001</v>
      </c>
      <c r="E17" s="165">
        <v>0</v>
      </c>
      <c r="F17" s="166">
        <v>0</v>
      </c>
      <c r="G17" s="167">
        <f>IF($C$12*$C$13&lt;'TAS Oct 2018'!P3,(0),((('TAS Bills October 2018'!$C$12*'TAS Bills October 2018'!$C$13)-('TAS Oct 2018'!P3))*'TAS Oct 2018'!Q3/100))</f>
        <v>683.22</v>
      </c>
      <c r="H17" s="168">
        <f>($C$12*$C$14)*'TAS Oct 2018'!AF3/100</f>
        <v>218.745</v>
      </c>
      <c r="I17" s="169">
        <f>SUM(C17:H17)</f>
        <v>1155.32752</v>
      </c>
      <c r="J17" s="170">
        <f>I17*4</f>
        <v>4621.3100800000002</v>
      </c>
      <c r="K17" s="171">
        <v>0</v>
      </c>
      <c r="L17" s="171">
        <f>'TAS Oct 2018'!AY3</f>
        <v>0</v>
      </c>
      <c r="M17" s="171">
        <f>'TAS Oct 2018'!AZ3</f>
        <v>0</v>
      </c>
      <c r="N17" s="171">
        <f>'TAS Oct 2018'!BA3</f>
        <v>0</v>
      </c>
      <c r="O17" s="170">
        <f>J17</f>
        <v>4621.3100800000002</v>
      </c>
      <c r="P17" s="170">
        <f>O17-(O17*M17/100)</f>
        <v>4621.3100800000002</v>
      </c>
      <c r="Q17" s="170">
        <f>O17*1.1</f>
        <v>5083.4410880000005</v>
      </c>
      <c r="R17" s="170">
        <f>P17*1.1</f>
        <v>5083.4410880000005</v>
      </c>
      <c r="S17" s="172">
        <f>'TAS Oct 2018'!BH3</f>
        <v>0</v>
      </c>
      <c r="T17" s="173">
        <f>'TAS Oct 2018'!BI3</f>
        <v>0</v>
      </c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</row>
    <row r="18" spans="1:49" ht="14" x14ac:dyDescent="0.1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</row>
    <row r="19" spans="1:49" ht="15" thickBot="1" x14ac:dyDescent="0.2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20"/>
      <c r="P19" s="117"/>
      <c r="Q19" s="120"/>
      <c r="R19" s="120"/>
      <c r="S19" s="120"/>
      <c r="T19" s="117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</row>
    <row r="20" spans="1:49" ht="14" x14ac:dyDescent="0.15">
      <c r="A20" s="62" t="s">
        <v>33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/>
      <c r="R20" s="64"/>
      <c r="S20" s="64"/>
      <c r="T20" s="65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</row>
    <row r="21" spans="1:49" ht="14" x14ac:dyDescent="0.15">
      <c r="A21" s="66" t="s">
        <v>22</v>
      </c>
      <c r="B21" s="64"/>
      <c r="C21" s="85">
        <v>5000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7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</row>
    <row r="22" spans="1:49" ht="14" x14ac:dyDescent="0.15">
      <c r="A22" s="66" t="s">
        <v>23</v>
      </c>
      <c r="B22" s="64"/>
      <c r="C22" s="86">
        <v>0.3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7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</row>
    <row r="23" spans="1:49" ht="14" x14ac:dyDescent="0.15">
      <c r="A23" s="66" t="s">
        <v>24</v>
      </c>
      <c r="B23" s="64"/>
      <c r="C23" s="86">
        <v>0.4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7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</row>
    <row r="24" spans="1:49" ht="14" x14ac:dyDescent="0.15">
      <c r="A24" s="66" t="s">
        <v>21</v>
      </c>
      <c r="B24" s="64"/>
      <c r="C24" s="86">
        <v>0.3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7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</row>
    <row r="25" spans="1:49" ht="14" x14ac:dyDescent="0.15">
      <c r="A25" s="66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7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</row>
    <row r="26" spans="1:49" ht="75" x14ac:dyDescent="0.15">
      <c r="A26" s="146" t="s">
        <v>35</v>
      </c>
      <c r="B26" s="147" t="s">
        <v>36</v>
      </c>
      <c r="C26" s="141" t="s">
        <v>27</v>
      </c>
      <c r="D26" s="141" t="s">
        <v>153</v>
      </c>
      <c r="E26" s="141" t="s">
        <v>83</v>
      </c>
      <c r="F26" s="141" t="s">
        <v>154</v>
      </c>
      <c r="G26" s="141" t="s">
        <v>155</v>
      </c>
      <c r="H26" s="141" t="s">
        <v>156</v>
      </c>
      <c r="I26" s="141" t="s">
        <v>87</v>
      </c>
      <c r="J26" s="142" t="s">
        <v>157</v>
      </c>
      <c r="K26" s="143" t="s">
        <v>94</v>
      </c>
      <c r="L26" s="143" t="s">
        <v>123</v>
      </c>
      <c r="M26" s="143" t="s">
        <v>124</v>
      </c>
      <c r="N26" s="143" t="s">
        <v>125</v>
      </c>
      <c r="O26" s="144" t="s">
        <v>158</v>
      </c>
      <c r="P26" s="144" t="s">
        <v>159</v>
      </c>
      <c r="Q26" s="144" t="s">
        <v>25</v>
      </c>
      <c r="R26" s="144" t="s">
        <v>26</v>
      </c>
      <c r="S26" s="143" t="s">
        <v>55</v>
      </c>
      <c r="T26" s="145" t="s">
        <v>160</v>
      </c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</row>
    <row r="27" spans="1:49" ht="15" thickBot="1" x14ac:dyDescent="0.2">
      <c r="A27" s="163" t="str">
        <f>'TAS Oct 2018'!K4</f>
        <v>Aurora Energy</v>
      </c>
      <c r="B27" s="164" t="str">
        <f>'TAS Oct 2018'!L4</f>
        <v>Regulated</v>
      </c>
      <c r="C27" s="165">
        <f>91*'TAS Oct 2018'!M4/100</f>
        <v>91.336700000000008</v>
      </c>
      <c r="D27" s="165">
        <f>($C$21*$C$22)*'TAS Oct 2018'!N4/100</f>
        <v>379.995</v>
      </c>
      <c r="E27" s="165">
        <v>0</v>
      </c>
      <c r="F27" s="166">
        <v>0</v>
      </c>
      <c r="G27" s="167">
        <f>($C$21*$C$23)*'TAS Oct 2018'!AI4/100</f>
        <v>366.2</v>
      </c>
      <c r="H27" s="168">
        <f>($C$21*$C$24)*'TAS Oct 2018'!W4/100</f>
        <v>160.65</v>
      </c>
      <c r="I27" s="169">
        <f>SUM(C27:H27)</f>
        <v>998.18169999999998</v>
      </c>
      <c r="J27" s="170">
        <f>I27*4</f>
        <v>3992.7267999999999</v>
      </c>
      <c r="K27" s="171">
        <v>0</v>
      </c>
      <c r="L27" s="171">
        <f>'TAS Oct 2018'!AY4</f>
        <v>0</v>
      </c>
      <c r="M27" s="171">
        <f>'TAS Oct 2018'!AZ4</f>
        <v>0</v>
      </c>
      <c r="N27" s="171">
        <f>'TAS Oct 2018'!BA4</f>
        <v>0</v>
      </c>
      <c r="O27" s="170">
        <f>J27</f>
        <v>3992.7267999999999</v>
      </c>
      <c r="P27" s="170">
        <f>O27-(O27*M27/100)</f>
        <v>3992.7267999999999</v>
      </c>
      <c r="Q27" s="170">
        <f>O27*1.1</f>
        <v>4391.9994800000004</v>
      </c>
      <c r="R27" s="170">
        <f>P27*1.1</f>
        <v>4391.9994800000004</v>
      </c>
      <c r="S27" s="172">
        <f>'TAS Oct 2018'!BH4</f>
        <v>0</v>
      </c>
      <c r="T27" s="173">
        <f>'TAS Oct 2018'!BI4</f>
        <v>0</v>
      </c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</row>
    <row r="28" spans="1:49" ht="14" x14ac:dyDescent="0.1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</row>
    <row r="29" spans="1:49" ht="14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22"/>
      <c r="P29" s="122"/>
      <c r="Q29" s="122"/>
      <c r="R29" s="122"/>
      <c r="S29" s="122"/>
      <c r="T29" s="117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</row>
    <row r="30" spans="1:49" ht="14" x14ac:dyDescent="0.1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22"/>
      <c r="P30" s="122"/>
      <c r="Q30" s="122"/>
      <c r="R30" s="122"/>
      <c r="S30" s="122"/>
      <c r="T30" s="117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</row>
    <row r="31" spans="1:49" ht="14" x14ac:dyDescent="0.1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22"/>
      <c r="P31" s="122"/>
      <c r="Q31" s="122"/>
      <c r="R31" s="122"/>
      <c r="S31" s="122"/>
      <c r="T31" s="117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</row>
    <row r="32" spans="1:49" ht="14" x14ac:dyDescent="0.1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22"/>
      <c r="P32" s="122"/>
      <c r="Q32" s="122"/>
      <c r="R32" s="122"/>
      <c r="S32" s="122"/>
      <c r="T32" s="117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</row>
    <row r="33" spans="1:49" ht="14" x14ac:dyDescent="0.1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22"/>
      <c r="P33" s="122"/>
      <c r="Q33" s="122"/>
      <c r="R33" s="122"/>
      <c r="S33" s="122"/>
      <c r="T33" s="117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</row>
    <row r="34" spans="1:49" ht="14" x14ac:dyDescent="0.1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22"/>
      <c r="P34" s="122"/>
      <c r="Q34" s="122"/>
      <c r="R34" s="122"/>
      <c r="S34" s="122"/>
      <c r="T34" s="117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</row>
    <row r="35" spans="1:49" ht="14" x14ac:dyDescent="0.1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22"/>
      <c r="P35" s="122"/>
      <c r="Q35" s="122"/>
      <c r="R35" s="122"/>
      <c r="S35" s="122"/>
      <c r="T35" s="117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</row>
    <row r="36" spans="1:49" ht="14" x14ac:dyDescent="0.1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22"/>
      <c r="P36" s="122"/>
      <c r="Q36" s="122"/>
      <c r="R36" s="122"/>
      <c r="S36" s="122"/>
      <c r="T36" s="117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</row>
    <row r="37" spans="1:49" ht="14" x14ac:dyDescent="0.1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22"/>
      <c r="P37" s="122"/>
      <c r="Q37" s="122"/>
      <c r="R37" s="122"/>
      <c r="S37" s="122"/>
      <c r="T37" s="117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</row>
    <row r="38" spans="1:49" ht="14" x14ac:dyDescent="0.15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22"/>
      <c r="P38" s="122"/>
      <c r="Q38" s="122"/>
      <c r="R38" s="122"/>
      <c r="S38" s="122"/>
      <c r="T38" s="117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</row>
    <row r="39" spans="1:49" ht="14" x14ac:dyDescent="0.15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22"/>
      <c r="P39" s="122"/>
      <c r="Q39" s="122"/>
      <c r="R39" s="122"/>
      <c r="S39" s="122"/>
      <c r="T39" s="117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</row>
    <row r="40" spans="1:49" ht="14" x14ac:dyDescent="0.15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22"/>
      <c r="P40" s="122"/>
      <c r="Q40" s="122"/>
      <c r="R40" s="122"/>
      <c r="S40" s="122"/>
      <c r="T40" s="117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</row>
    <row r="41" spans="1:49" ht="14" x14ac:dyDescent="0.15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22"/>
      <c r="P41" s="122"/>
      <c r="Q41" s="122"/>
      <c r="R41" s="122"/>
      <c r="S41" s="122"/>
      <c r="T41" s="117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</row>
    <row r="42" spans="1:49" ht="14" x14ac:dyDescent="0.15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22"/>
      <c r="P42" s="122"/>
      <c r="Q42" s="122"/>
      <c r="R42" s="122"/>
      <c r="S42" s="122"/>
      <c r="T42" s="117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</row>
    <row r="43" spans="1:49" ht="14" x14ac:dyDescent="0.1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22"/>
      <c r="P43" s="122"/>
      <c r="Q43" s="122"/>
      <c r="R43" s="122"/>
      <c r="S43" s="122"/>
      <c r="T43" s="117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</row>
    <row r="44" spans="1:49" ht="14" x14ac:dyDescent="0.1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22"/>
      <c r="P44" s="122"/>
      <c r="Q44" s="122"/>
      <c r="R44" s="122"/>
      <c r="S44" s="122"/>
      <c r="T44" s="117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</row>
    <row r="45" spans="1:49" ht="14" x14ac:dyDescent="0.15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22"/>
      <c r="P45" s="122"/>
      <c r="Q45" s="122"/>
      <c r="R45" s="122"/>
      <c r="S45" s="122"/>
      <c r="T45" s="117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</row>
    <row r="46" spans="1:49" ht="14" x14ac:dyDescent="0.15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22"/>
      <c r="P46" s="122"/>
      <c r="Q46" s="122"/>
      <c r="R46" s="122"/>
      <c r="S46" s="122"/>
      <c r="T46" s="117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</row>
    <row r="47" spans="1:49" ht="14" x14ac:dyDescent="0.15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22"/>
      <c r="P47" s="122"/>
      <c r="Q47" s="122"/>
      <c r="R47" s="122"/>
      <c r="S47" s="122"/>
      <c r="T47" s="117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</row>
    <row r="48" spans="1:49" ht="14" x14ac:dyDescent="0.15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22"/>
      <c r="P48" s="122"/>
      <c r="Q48" s="122"/>
      <c r="R48" s="122"/>
      <c r="S48" s="122"/>
      <c r="T48" s="117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</row>
    <row r="49" spans="1:49" ht="14" x14ac:dyDescent="0.15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22"/>
      <c r="P49" s="122"/>
      <c r="Q49" s="122"/>
      <c r="R49" s="122"/>
      <c r="S49" s="122"/>
      <c r="T49" s="117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</row>
    <row r="50" spans="1:49" ht="14" x14ac:dyDescent="0.15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22"/>
      <c r="P50" s="122"/>
      <c r="Q50" s="122"/>
      <c r="R50" s="122"/>
      <c r="S50" s="122"/>
      <c r="T50" s="117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</row>
    <row r="51" spans="1:49" ht="14" x14ac:dyDescent="0.15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22"/>
      <c r="P51" s="122"/>
      <c r="Q51" s="122"/>
      <c r="R51" s="122"/>
      <c r="S51" s="122"/>
      <c r="T51" s="117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</row>
    <row r="52" spans="1:49" ht="14" x14ac:dyDescent="0.15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22"/>
      <c r="P52" s="122"/>
      <c r="Q52" s="122"/>
      <c r="R52" s="122"/>
      <c r="S52" s="122"/>
      <c r="T52" s="117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</row>
    <row r="53" spans="1:49" ht="14" x14ac:dyDescent="0.15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22"/>
      <c r="P53" s="122"/>
      <c r="Q53" s="122"/>
      <c r="R53" s="122"/>
      <c r="S53" s="122"/>
      <c r="T53" s="117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</row>
    <row r="54" spans="1:49" ht="14" x14ac:dyDescent="0.15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22"/>
      <c r="P54" s="122"/>
      <c r="Q54" s="122"/>
      <c r="R54" s="122"/>
      <c r="S54" s="122"/>
      <c r="T54" s="117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</row>
    <row r="55" spans="1:49" ht="14" x14ac:dyDescent="0.15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22"/>
      <c r="P55" s="122"/>
      <c r="Q55" s="122"/>
      <c r="R55" s="122"/>
      <c r="S55" s="122"/>
      <c r="T55" s="117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</row>
    <row r="56" spans="1:49" ht="14" x14ac:dyDescent="0.15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22"/>
      <c r="P56" s="122"/>
      <c r="Q56" s="122"/>
      <c r="R56" s="122"/>
      <c r="S56" s="122"/>
      <c r="T56" s="117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</row>
    <row r="57" spans="1:49" ht="14" x14ac:dyDescent="0.15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22"/>
      <c r="P57" s="122"/>
      <c r="Q57" s="122"/>
      <c r="R57" s="122"/>
      <c r="S57" s="122"/>
      <c r="T57" s="117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</row>
    <row r="58" spans="1:49" ht="14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22"/>
      <c r="P58" s="122"/>
      <c r="Q58" s="122"/>
      <c r="R58" s="122"/>
      <c r="S58" s="122"/>
      <c r="T58" s="117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</row>
    <row r="59" spans="1:49" ht="14" x14ac:dyDescent="0.15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22"/>
      <c r="P59" s="122"/>
      <c r="Q59" s="122"/>
      <c r="R59" s="122"/>
      <c r="S59" s="122"/>
      <c r="T59" s="117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</row>
    <row r="60" spans="1:49" ht="14" x14ac:dyDescent="0.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22"/>
      <c r="P60" s="122"/>
      <c r="Q60" s="122"/>
      <c r="R60" s="122"/>
      <c r="S60" s="122"/>
      <c r="T60" s="117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</row>
    <row r="61" spans="1:49" ht="14" x14ac:dyDescent="0.15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22"/>
      <c r="P61" s="122"/>
      <c r="Q61" s="122"/>
      <c r="R61" s="122"/>
      <c r="S61" s="122"/>
      <c r="T61" s="117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</row>
    <row r="62" spans="1:49" ht="14" x14ac:dyDescent="0.15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22"/>
      <c r="P62" s="122"/>
      <c r="Q62" s="122"/>
      <c r="R62" s="122"/>
      <c r="S62" s="122"/>
      <c r="T62" s="117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</row>
    <row r="63" spans="1:49" ht="14" x14ac:dyDescent="0.15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22"/>
      <c r="P63" s="122"/>
      <c r="Q63" s="122"/>
      <c r="R63" s="122"/>
      <c r="S63" s="122"/>
      <c r="T63" s="117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</row>
    <row r="64" spans="1:49" ht="14" x14ac:dyDescent="0.1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22"/>
      <c r="P64" s="122"/>
      <c r="Q64" s="122"/>
      <c r="R64" s="122"/>
      <c r="S64" s="122"/>
      <c r="T64" s="117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</row>
    <row r="65" spans="1:49" ht="14" x14ac:dyDescent="0.15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22"/>
      <c r="P65" s="122"/>
      <c r="Q65" s="122"/>
      <c r="R65" s="122"/>
      <c r="S65" s="122"/>
      <c r="T65" s="117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</row>
    <row r="66" spans="1:49" ht="14" x14ac:dyDescent="0.15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22"/>
      <c r="P66" s="122"/>
      <c r="Q66" s="122"/>
      <c r="R66" s="122"/>
      <c r="S66" s="122"/>
      <c r="T66" s="117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</row>
    <row r="67" spans="1:49" ht="14" x14ac:dyDescent="0.15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22"/>
      <c r="P67" s="122"/>
      <c r="Q67" s="122"/>
      <c r="R67" s="122"/>
      <c r="S67" s="122"/>
      <c r="T67" s="117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</row>
    <row r="68" spans="1:49" ht="14" x14ac:dyDescent="0.1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22"/>
      <c r="P68" s="122"/>
      <c r="Q68" s="122"/>
      <c r="R68" s="122"/>
      <c r="S68" s="122"/>
      <c r="T68" s="117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</row>
    <row r="69" spans="1:49" ht="14" x14ac:dyDescent="0.15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22"/>
      <c r="P69" s="122"/>
      <c r="Q69" s="122"/>
      <c r="R69" s="122"/>
      <c r="S69" s="122"/>
      <c r="T69" s="117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</row>
    <row r="70" spans="1:49" ht="14" x14ac:dyDescent="0.15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22"/>
      <c r="P70" s="122"/>
      <c r="Q70" s="122"/>
      <c r="R70" s="122"/>
      <c r="S70" s="122"/>
      <c r="T70" s="117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</row>
    <row r="71" spans="1:49" ht="14" x14ac:dyDescent="0.15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22"/>
      <c r="P71" s="122"/>
      <c r="Q71" s="122"/>
      <c r="R71" s="122"/>
      <c r="S71" s="122"/>
      <c r="T71" s="117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</row>
  </sheetData>
  <sheetProtection algorithmName="SHA-512" hashValue="wjre1r7g1LAoDmoiHoZtv/B9/+hxnPLebQ7NswH5RHrkvXe42HUOzhZmF25Cj8/G/pjFLPCdbiYGoQBkGEtZ7Q==" saltValue="q+YsoG32hkCCyIIHQ7q49w==" spinCount="100000" sheet="1" objects="1" scenarios="1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384ED-74F8-8E40-9691-97AA1133955A}">
  <sheetPr codeName="Sheet6">
    <tabColor theme="9"/>
  </sheetPr>
  <dimension ref="A1:WM405"/>
  <sheetViews>
    <sheetView topLeftCell="A2" zoomScaleNormal="100" zoomScalePageLayoutView="120" workbookViewId="0">
      <selection activeCell="G36" sqref="G36"/>
    </sheetView>
  </sheetViews>
  <sheetFormatPr baseColWidth="10" defaultRowHeight="13" x14ac:dyDescent="0.15"/>
  <cols>
    <col min="1" max="1" width="20.33203125" style="59" customWidth="1"/>
    <col min="2" max="2" width="13.5" style="59" customWidth="1"/>
    <col min="3" max="14" width="12.1640625" style="59" customWidth="1"/>
    <col min="15" max="16" width="12.1640625" style="59" hidden="1" customWidth="1"/>
    <col min="17" max="20" width="12.1640625" style="59" customWidth="1"/>
    <col min="21" max="49" width="7.5" style="112" customWidth="1"/>
    <col min="50" max="137" width="10.83203125" style="112"/>
    <col min="138" max="611" width="10.83203125" style="94"/>
    <col min="612" max="16384" width="10.83203125" style="59"/>
  </cols>
  <sheetData>
    <row r="1" spans="1:611" s="112" customFormat="1" ht="14" x14ac:dyDescent="0.15">
      <c r="A1" s="111" t="s">
        <v>149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</row>
    <row r="2" spans="1:611" s="112" customFormat="1" ht="14" x14ac:dyDescent="0.15">
      <c r="A2" s="113" t="s">
        <v>48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</row>
    <row r="3" spans="1:611" s="112" customFormat="1" ht="15" thickBot="1" x14ac:dyDescent="0.2">
      <c r="A3" s="111"/>
      <c r="B3" s="111"/>
      <c r="C3" s="111"/>
      <c r="D3" s="111"/>
      <c r="E3" s="111"/>
      <c r="F3" s="111"/>
      <c r="G3" s="114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</row>
    <row r="4" spans="1:611" ht="14" x14ac:dyDescent="0.15">
      <c r="A4" s="62" t="s">
        <v>13</v>
      </c>
      <c r="B4" s="63"/>
      <c r="C4" s="63"/>
      <c r="D4" s="63"/>
      <c r="E4" s="63"/>
      <c r="F4" s="63"/>
      <c r="G4" s="64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5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</row>
    <row r="5" spans="1:611" ht="14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7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</row>
    <row r="6" spans="1:611" ht="14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7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</row>
    <row r="7" spans="1:611" ht="75" x14ac:dyDescent="0.15">
      <c r="A7" s="146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1" t="s">
        <v>84</v>
      </c>
      <c r="G7" s="141" t="s">
        <v>85</v>
      </c>
      <c r="H7" s="141" t="s">
        <v>86</v>
      </c>
      <c r="I7" s="141" t="s">
        <v>87</v>
      </c>
      <c r="J7" s="142" t="s">
        <v>61</v>
      </c>
      <c r="K7" s="143" t="s">
        <v>62</v>
      </c>
      <c r="L7" s="143" t="s">
        <v>63</v>
      </c>
      <c r="M7" s="143" t="s">
        <v>64</v>
      </c>
      <c r="N7" s="143" t="s">
        <v>65</v>
      </c>
      <c r="O7" s="144" t="s">
        <v>66</v>
      </c>
      <c r="P7" s="144" t="s">
        <v>67</v>
      </c>
      <c r="Q7" s="144" t="s">
        <v>25</v>
      </c>
      <c r="R7" s="144" t="s">
        <v>26</v>
      </c>
      <c r="S7" s="143" t="s">
        <v>68</v>
      </c>
      <c r="T7" s="145" t="s">
        <v>95</v>
      </c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</row>
    <row r="8" spans="1:611" ht="14" x14ac:dyDescent="0.15">
      <c r="A8" s="150" t="str">
        <f>'TAS Apr 2018'!K2</f>
        <v>Aurora Energy</v>
      </c>
      <c r="B8" s="159" t="str">
        <f>'TAS Apr 2018'!L2</f>
        <v>Regulated</v>
      </c>
      <c r="C8" s="124">
        <f>91*'TAS Apr 2018'!M2/100</f>
        <v>82.628909999999991</v>
      </c>
      <c r="D8" s="124">
        <f>IF($C$5&gt;='TAS Apr 2018'!P2,('TAS Apr 2018'!P2*'TAS Apr 2018'!N2/100),('TAS Bills April 2018'!$C$5*'TAS Apr 2018'!N2/100))</f>
        <v>150.83500000000001</v>
      </c>
      <c r="E8" s="124">
        <v>0</v>
      </c>
      <c r="F8" s="125">
        <v>0</v>
      </c>
      <c r="G8" s="126">
        <v>0</v>
      </c>
      <c r="H8" s="127">
        <f>IF(($C$5&lt;'TAS Apr 2018'!P2),(0),('TAS Bills April 2018'!$C$5-'TAS Apr 2018'!P2)*'TAS Apr 2018'!Q2/100)</f>
        <v>1004.265</v>
      </c>
      <c r="I8" s="128">
        <f>SUM(C8:H8)</f>
        <v>1237.72891</v>
      </c>
      <c r="J8" s="129">
        <f>I8*4</f>
        <v>4950.9156400000002</v>
      </c>
      <c r="K8" s="123">
        <v>0</v>
      </c>
      <c r="L8" s="123">
        <f>'TAS Apr 2018'!AY2</f>
        <v>0</v>
      </c>
      <c r="M8" s="123">
        <f>'TAS Apr 2018'!AZ2</f>
        <v>0</v>
      </c>
      <c r="N8" s="123">
        <f>'TAS Apr 2018'!BA2</f>
        <v>0</v>
      </c>
      <c r="O8" s="129">
        <f>J8</f>
        <v>4950.9156400000002</v>
      </c>
      <c r="P8" s="129">
        <f>O8-(O8*M8/100)</f>
        <v>4950.9156400000002</v>
      </c>
      <c r="Q8" s="129">
        <f>O8*1.1</f>
        <v>5446.0072040000005</v>
      </c>
      <c r="R8" s="129">
        <f>P8*1.1</f>
        <v>5446.0072040000005</v>
      </c>
      <c r="S8" s="130">
        <f>'TAS Apr 2018'!BH2</f>
        <v>0</v>
      </c>
      <c r="T8" s="131">
        <f>'TAS Apr 2018'!BI2</f>
        <v>0</v>
      </c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</row>
    <row r="9" spans="1:611" s="108" customFormat="1" ht="15" thickBot="1" x14ac:dyDescent="0.2">
      <c r="A9" s="153" t="str">
        <f>'TAS Apr 2018'!K3</f>
        <v>ERM Power</v>
      </c>
      <c r="B9" s="160" t="str">
        <f>'TAS Apr 2018'!L3</f>
        <v>Adjustable</v>
      </c>
      <c r="C9" s="133">
        <f>91*'TAS Apr 2018'!M3/100</f>
        <v>98.28</v>
      </c>
      <c r="D9" s="133">
        <f>C5*'TAS Apr 2018'!N3/100</f>
        <v>1161.9999999999998</v>
      </c>
      <c r="E9" s="133">
        <v>0</v>
      </c>
      <c r="F9" s="134">
        <v>0</v>
      </c>
      <c r="G9" s="135">
        <v>0</v>
      </c>
      <c r="H9" s="136">
        <v>0</v>
      </c>
      <c r="I9" s="137">
        <f t="shared" ref="I9" si="0">SUM(C9:H9)</f>
        <v>1260.2799999999997</v>
      </c>
      <c r="J9" s="138">
        <f t="shared" ref="J9" si="1">I9*4</f>
        <v>5041.119999999999</v>
      </c>
      <c r="K9" s="132">
        <v>0</v>
      </c>
      <c r="L9" s="132">
        <f>'TAS Apr 2018'!AY3</f>
        <v>0</v>
      </c>
      <c r="M9" s="132">
        <f>'TAS Apr 2018'!AZ3</f>
        <v>0</v>
      </c>
      <c r="N9" s="132">
        <f>'TAS Apr 2018'!BA3</f>
        <v>0</v>
      </c>
      <c r="O9" s="138">
        <f>J9-((I9-C9)*L9/100)*4</f>
        <v>5041.119999999999</v>
      </c>
      <c r="P9" s="138">
        <f>O9-(O9*M9/100)</f>
        <v>5041.119999999999</v>
      </c>
      <c r="Q9" s="138">
        <f>O9*1.1</f>
        <v>5545.2319999999991</v>
      </c>
      <c r="R9" s="138">
        <f>P9*1.1</f>
        <v>5545.2319999999991</v>
      </c>
      <c r="S9" s="139">
        <f>'TAS Apr 2018'!BH3</f>
        <v>0</v>
      </c>
      <c r="T9" s="140">
        <f>'TAS Apr 2018'!BI3</f>
        <v>0</v>
      </c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  <c r="IX9" s="94"/>
      <c r="IY9" s="94"/>
      <c r="IZ9" s="94"/>
      <c r="JA9" s="94"/>
      <c r="JB9" s="94"/>
      <c r="JC9" s="94"/>
      <c r="JD9" s="94"/>
      <c r="JE9" s="94"/>
      <c r="JF9" s="94"/>
      <c r="JG9" s="94"/>
      <c r="JH9" s="94"/>
      <c r="JI9" s="94"/>
      <c r="JJ9" s="94"/>
      <c r="JK9" s="94"/>
      <c r="JL9" s="94"/>
      <c r="JM9" s="94"/>
      <c r="JN9" s="94"/>
      <c r="JO9" s="94"/>
      <c r="JP9" s="94"/>
      <c r="JQ9" s="94"/>
      <c r="JR9" s="94"/>
      <c r="JS9" s="94"/>
      <c r="JT9" s="94"/>
      <c r="JU9" s="94"/>
      <c r="JV9" s="94"/>
      <c r="JW9" s="94"/>
      <c r="JX9" s="94"/>
      <c r="JY9" s="94"/>
      <c r="JZ9" s="94"/>
      <c r="KA9" s="94"/>
      <c r="KB9" s="94"/>
      <c r="KC9" s="94"/>
      <c r="KD9" s="94"/>
      <c r="KE9" s="94"/>
      <c r="KF9" s="94"/>
      <c r="KG9" s="94"/>
      <c r="KH9" s="94"/>
      <c r="KI9" s="94"/>
      <c r="KJ9" s="94"/>
      <c r="KK9" s="94"/>
      <c r="KL9" s="94"/>
      <c r="KM9" s="94"/>
      <c r="KN9" s="94"/>
      <c r="KO9" s="94"/>
      <c r="KP9" s="94"/>
      <c r="KQ9" s="94"/>
      <c r="KR9" s="94"/>
      <c r="KS9" s="94"/>
      <c r="KT9" s="94"/>
      <c r="KU9" s="94"/>
      <c r="KV9" s="94"/>
      <c r="KW9" s="94"/>
      <c r="KX9" s="94"/>
      <c r="KY9" s="94"/>
      <c r="KZ9" s="94"/>
      <c r="LA9" s="94"/>
      <c r="LB9" s="94"/>
      <c r="LC9" s="94"/>
      <c r="LD9" s="94"/>
      <c r="LE9" s="94"/>
      <c r="LF9" s="94"/>
      <c r="LG9" s="94"/>
      <c r="LH9" s="94"/>
      <c r="LI9" s="94"/>
      <c r="LJ9" s="94"/>
      <c r="LK9" s="94"/>
      <c r="LL9" s="94"/>
      <c r="LM9" s="94"/>
      <c r="LN9" s="94"/>
      <c r="LO9" s="94"/>
      <c r="LP9" s="94"/>
      <c r="LQ9" s="94"/>
      <c r="LR9" s="94"/>
      <c r="LS9" s="94"/>
      <c r="LT9" s="94"/>
      <c r="LU9" s="94"/>
      <c r="LV9" s="94"/>
      <c r="LW9" s="94"/>
      <c r="LX9" s="94"/>
      <c r="LY9" s="94"/>
      <c r="LZ9" s="94"/>
      <c r="MA9" s="94"/>
      <c r="MB9" s="94"/>
      <c r="MC9" s="94"/>
      <c r="MD9" s="94"/>
      <c r="ME9" s="94"/>
      <c r="MF9" s="94"/>
      <c r="MG9" s="94"/>
      <c r="MH9" s="94"/>
      <c r="MI9" s="94"/>
      <c r="MJ9" s="94"/>
      <c r="MK9" s="94"/>
      <c r="ML9" s="94"/>
      <c r="MM9" s="94"/>
      <c r="MN9" s="94"/>
      <c r="MO9" s="94"/>
      <c r="MP9" s="94"/>
      <c r="MQ9" s="94"/>
      <c r="MR9" s="94"/>
      <c r="MS9" s="94"/>
      <c r="MT9" s="94"/>
      <c r="MU9" s="94"/>
      <c r="MV9" s="94"/>
      <c r="MW9" s="94"/>
      <c r="MX9" s="94"/>
      <c r="MY9" s="94"/>
      <c r="MZ9" s="94"/>
      <c r="NA9" s="94"/>
      <c r="NB9" s="94"/>
      <c r="NC9" s="94"/>
      <c r="ND9" s="94"/>
      <c r="NE9" s="94"/>
      <c r="NF9" s="94"/>
      <c r="NG9" s="94"/>
      <c r="NH9" s="94"/>
      <c r="NI9" s="94"/>
      <c r="NJ9" s="94"/>
      <c r="NK9" s="94"/>
      <c r="NL9" s="94"/>
      <c r="NM9" s="94"/>
      <c r="NN9" s="94"/>
      <c r="NO9" s="94"/>
      <c r="NP9" s="94"/>
      <c r="NQ9" s="94"/>
      <c r="NR9" s="94"/>
      <c r="NS9" s="94"/>
      <c r="NT9" s="94"/>
      <c r="NU9" s="94"/>
      <c r="NV9" s="94"/>
      <c r="NW9" s="94"/>
      <c r="NX9" s="94"/>
      <c r="NY9" s="94"/>
      <c r="NZ9" s="94"/>
      <c r="OA9" s="94"/>
      <c r="OB9" s="94"/>
      <c r="OC9" s="94"/>
      <c r="OD9" s="94"/>
      <c r="OE9" s="94"/>
      <c r="OF9" s="94"/>
      <c r="OG9" s="94"/>
      <c r="OH9" s="94"/>
      <c r="OI9" s="94"/>
      <c r="OJ9" s="94"/>
      <c r="OK9" s="94"/>
      <c r="OL9" s="94"/>
      <c r="OM9" s="94"/>
      <c r="ON9" s="94"/>
      <c r="OO9" s="94"/>
      <c r="OP9" s="94"/>
      <c r="OQ9" s="94"/>
      <c r="OR9" s="94"/>
      <c r="OS9" s="94"/>
      <c r="OT9" s="94"/>
      <c r="OU9" s="94"/>
      <c r="OV9" s="94"/>
      <c r="OW9" s="94"/>
      <c r="OX9" s="94"/>
      <c r="OY9" s="94"/>
      <c r="OZ9" s="94"/>
      <c r="PA9" s="94"/>
      <c r="PB9" s="94"/>
      <c r="PC9" s="94"/>
      <c r="PD9" s="94"/>
      <c r="PE9" s="94"/>
      <c r="PF9" s="94"/>
      <c r="PG9" s="94"/>
      <c r="PH9" s="94"/>
      <c r="PI9" s="94"/>
      <c r="PJ9" s="94"/>
      <c r="PK9" s="94"/>
      <c r="PL9" s="94"/>
      <c r="PM9" s="94"/>
      <c r="PN9" s="94"/>
      <c r="PO9" s="94"/>
      <c r="PP9" s="94"/>
      <c r="PQ9" s="94"/>
      <c r="PR9" s="94"/>
      <c r="PS9" s="94"/>
      <c r="PT9" s="94"/>
      <c r="PU9" s="94"/>
      <c r="PV9" s="94"/>
      <c r="PW9" s="94"/>
      <c r="PX9" s="94"/>
      <c r="PY9" s="94"/>
      <c r="PZ9" s="94"/>
      <c r="QA9" s="94"/>
      <c r="QB9" s="94"/>
      <c r="QC9" s="94"/>
      <c r="QD9" s="94"/>
      <c r="QE9" s="94"/>
      <c r="QF9" s="94"/>
      <c r="QG9" s="94"/>
      <c r="QH9" s="94"/>
      <c r="QI9" s="94"/>
      <c r="QJ9" s="94"/>
      <c r="QK9" s="94"/>
      <c r="QL9" s="94"/>
      <c r="QM9" s="94"/>
      <c r="QN9" s="94"/>
      <c r="QO9" s="94"/>
      <c r="QP9" s="94"/>
      <c r="QQ9" s="94"/>
      <c r="QR9" s="94"/>
      <c r="QS9" s="94"/>
      <c r="QT9" s="94"/>
      <c r="QU9" s="94"/>
      <c r="QV9" s="94"/>
      <c r="QW9" s="94"/>
      <c r="QX9" s="94"/>
      <c r="QY9" s="94"/>
      <c r="QZ9" s="94"/>
      <c r="RA9" s="94"/>
      <c r="RB9" s="94"/>
      <c r="RC9" s="94"/>
      <c r="RD9" s="94"/>
      <c r="RE9" s="94"/>
      <c r="RF9" s="94"/>
      <c r="RG9" s="94"/>
      <c r="RH9" s="94"/>
      <c r="RI9" s="94"/>
      <c r="RJ9" s="94"/>
      <c r="RK9" s="94"/>
      <c r="RL9" s="94"/>
      <c r="RM9" s="94"/>
      <c r="RN9" s="94"/>
      <c r="RO9" s="94"/>
      <c r="RP9" s="94"/>
      <c r="RQ9" s="94"/>
      <c r="RR9" s="94"/>
      <c r="RS9" s="94"/>
      <c r="RT9" s="94"/>
      <c r="RU9" s="94"/>
      <c r="RV9" s="94"/>
      <c r="RW9" s="94"/>
      <c r="RX9" s="94"/>
      <c r="RY9" s="94"/>
      <c r="RZ9" s="94"/>
      <c r="SA9" s="94"/>
      <c r="SB9" s="94"/>
      <c r="SC9" s="94"/>
      <c r="SD9" s="94"/>
      <c r="SE9" s="94"/>
      <c r="SF9" s="94"/>
      <c r="SG9" s="94"/>
      <c r="SH9" s="94"/>
      <c r="SI9" s="94"/>
      <c r="SJ9" s="94"/>
      <c r="SK9" s="94"/>
      <c r="SL9" s="94"/>
      <c r="SM9" s="94"/>
      <c r="SN9" s="94"/>
      <c r="SO9" s="94"/>
      <c r="SP9" s="94"/>
      <c r="SQ9" s="94"/>
      <c r="SR9" s="94"/>
      <c r="SS9" s="94"/>
      <c r="ST9" s="94"/>
      <c r="SU9" s="94"/>
      <c r="SV9" s="94"/>
      <c r="SW9" s="94"/>
      <c r="SX9" s="94"/>
      <c r="SY9" s="94"/>
      <c r="SZ9" s="94"/>
      <c r="TA9" s="94"/>
      <c r="TB9" s="94"/>
      <c r="TC9" s="94"/>
      <c r="TD9" s="94"/>
      <c r="TE9" s="94"/>
      <c r="TF9" s="94"/>
      <c r="TG9" s="94"/>
      <c r="TH9" s="94"/>
      <c r="TI9" s="94"/>
      <c r="TJ9" s="94"/>
      <c r="TK9" s="94"/>
      <c r="TL9" s="94"/>
      <c r="TM9" s="94"/>
      <c r="TN9" s="94"/>
      <c r="TO9" s="94"/>
      <c r="TP9" s="94"/>
      <c r="TQ9" s="94"/>
      <c r="TR9" s="94"/>
      <c r="TS9" s="94"/>
      <c r="TT9" s="94"/>
      <c r="TU9" s="94"/>
      <c r="TV9" s="94"/>
      <c r="TW9" s="94"/>
      <c r="TX9" s="94"/>
      <c r="TY9" s="94"/>
      <c r="TZ9" s="94"/>
      <c r="UA9" s="94"/>
      <c r="UB9" s="94"/>
      <c r="UC9" s="94"/>
      <c r="UD9" s="94"/>
      <c r="UE9" s="94"/>
      <c r="UF9" s="94"/>
      <c r="UG9" s="94"/>
      <c r="UH9" s="94"/>
      <c r="UI9" s="94"/>
      <c r="UJ9" s="94"/>
      <c r="UK9" s="94"/>
      <c r="UL9" s="94"/>
      <c r="UM9" s="94"/>
      <c r="UN9" s="94"/>
      <c r="UO9" s="94"/>
      <c r="UP9" s="94"/>
      <c r="UQ9" s="94"/>
      <c r="UR9" s="94"/>
      <c r="US9" s="94"/>
      <c r="UT9" s="94"/>
      <c r="UU9" s="94"/>
      <c r="UV9" s="94"/>
      <c r="UW9" s="94"/>
      <c r="UX9" s="94"/>
      <c r="UY9" s="94"/>
      <c r="UZ9" s="94"/>
      <c r="VA9" s="94"/>
      <c r="VB9" s="94"/>
      <c r="VC9" s="94"/>
      <c r="VD9" s="94"/>
      <c r="VE9" s="94"/>
      <c r="VF9" s="94"/>
      <c r="VG9" s="94"/>
      <c r="VH9" s="94"/>
      <c r="VI9" s="94"/>
      <c r="VJ9" s="94"/>
      <c r="VK9" s="94"/>
      <c r="VL9" s="94"/>
      <c r="VM9" s="94"/>
      <c r="VN9" s="94"/>
      <c r="VO9" s="94"/>
      <c r="VP9" s="94"/>
      <c r="VQ9" s="94"/>
      <c r="VR9" s="94"/>
      <c r="VS9" s="94"/>
      <c r="VT9" s="94"/>
      <c r="VU9" s="94"/>
      <c r="VV9" s="94"/>
      <c r="VW9" s="94"/>
      <c r="VX9" s="94"/>
      <c r="VY9" s="94"/>
      <c r="VZ9" s="94"/>
      <c r="WA9" s="94"/>
      <c r="WB9" s="94"/>
      <c r="WC9" s="94"/>
      <c r="WD9" s="94"/>
      <c r="WE9" s="94"/>
      <c r="WF9" s="94"/>
      <c r="WG9" s="94"/>
      <c r="WH9" s="94"/>
      <c r="WI9" s="94"/>
      <c r="WJ9" s="94"/>
      <c r="WK9" s="94"/>
      <c r="WL9" s="94"/>
      <c r="WM9" s="94"/>
    </row>
    <row r="10" spans="1:611" s="112" customFormat="1" ht="14" x14ac:dyDescent="0.15"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</row>
    <row r="11" spans="1:611" s="112" customFormat="1" ht="15" thickBot="1" x14ac:dyDescent="0.2"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</row>
    <row r="12" spans="1:611" ht="14" x14ac:dyDescent="0.15">
      <c r="A12" s="62" t="s">
        <v>96</v>
      </c>
      <c r="B12" s="63"/>
      <c r="C12" s="63"/>
      <c r="D12" s="79"/>
      <c r="E12" s="79"/>
      <c r="F12" s="79"/>
      <c r="G12" s="79"/>
      <c r="H12" s="79"/>
      <c r="I12" s="80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</row>
    <row r="13" spans="1:611" ht="14" x14ac:dyDescent="0.15">
      <c r="A13" s="66" t="s">
        <v>79</v>
      </c>
      <c r="B13" s="64"/>
      <c r="C13" s="85">
        <v>5000</v>
      </c>
      <c r="D13" s="81"/>
      <c r="E13" s="81"/>
      <c r="F13" s="81"/>
      <c r="G13" s="81"/>
      <c r="H13" s="81"/>
      <c r="I13" s="82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7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</row>
    <row r="14" spans="1:611" ht="14" x14ac:dyDescent="0.15">
      <c r="A14" s="66" t="s">
        <v>97</v>
      </c>
      <c r="B14" s="64"/>
      <c r="C14" s="86">
        <v>0.7</v>
      </c>
      <c r="D14" s="81"/>
      <c r="E14" s="81"/>
      <c r="F14" s="81"/>
      <c r="G14" s="81"/>
      <c r="H14" s="81"/>
      <c r="I14" s="82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7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</row>
    <row r="15" spans="1:611" ht="14" x14ac:dyDescent="0.15">
      <c r="A15" s="66" t="s">
        <v>148</v>
      </c>
      <c r="B15" s="64"/>
      <c r="C15" s="86">
        <v>0.3</v>
      </c>
      <c r="D15" s="81"/>
      <c r="E15" s="81"/>
      <c r="F15" s="81"/>
      <c r="G15" s="81"/>
      <c r="H15" s="81"/>
      <c r="I15" s="82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7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</row>
    <row r="16" spans="1:611" ht="14" x14ac:dyDescent="0.15">
      <c r="A16" s="66"/>
      <c r="B16" s="64"/>
      <c r="C16" s="81"/>
      <c r="D16" s="81"/>
      <c r="E16" s="81"/>
      <c r="F16" s="81"/>
      <c r="G16" s="81"/>
      <c r="H16" s="81"/>
      <c r="I16" s="82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7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</row>
    <row r="17" spans="1:611" ht="75" x14ac:dyDescent="0.15">
      <c r="A17" s="146" t="s">
        <v>73</v>
      </c>
      <c r="B17" s="147" t="s">
        <v>80</v>
      </c>
      <c r="C17" s="141" t="s">
        <v>81</v>
      </c>
      <c r="D17" s="141" t="s">
        <v>82</v>
      </c>
      <c r="E17" s="141" t="s">
        <v>83</v>
      </c>
      <c r="F17" s="141" t="s">
        <v>84</v>
      </c>
      <c r="G17" s="141" t="s">
        <v>86</v>
      </c>
      <c r="H17" s="141" t="s">
        <v>96</v>
      </c>
      <c r="I17" s="141" t="s">
        <v>87</v>
      </c>
      <c r="J17" s="142" t="s">
        <v>61</v>
      </c>
      <c r="K17" s="143" t="s">
        <v>62</v>
      </c>
      <c r="L17" s="143" t="s">
        <v>63</v>
      </c>
      <c r="M17" s="143" t="s">
        <v>64</v>
      </c>
      <c r="N17" s="143" t="s">
        <v>65</v>
      </c>
      <c r="O17" s="144" t="s">
        <v>66</v>
      </c>
      <c r="P17" s="144" t="s">
        <v>67</v>
      </c>
      <c r="Q17" s="144" t="s">
        <v>25</v>
      </c>
      <c r="R17" s="144" t="s">
        <v>26</v>
      </c>
      <c r="S17" s="143" t="s">
        <v>68</v>
      </c>
      <c r="T17" s="145" t="s">
        <v>95</v>
      </c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</row>
    <row r="18" spans="1:611" ht="14" x14ac:dyDescent="0.15">
      <c r="A18" s="150" t="str">
        <f>'TAS Apr 2018'!K4</f>
        <v>Aurora Energy</v>
      </c>
      <c r="B18" s="159" t="str">
        <f>'TAS Apr 2018'!L4</f>
        <v>Regulated</v>
      </c>
      <c r="C18" s="124">
        <f>91*'TAS Apr 2018'!M4/100</f>
        <v>97.442800000000005</v>
      </c>
      <c r="D18" s="124">
        <f>IF(($C$13*$C$14)&gt;='TAS Apr 2018'!P4,('TAS Apr 2018'!P4*'TAS Apr 2018'!N4/100),(('TAS Bills April 2018'!$C$13*'TAS Bills April 2018'!$C$14)*'TAS Apr 2018'!N4/100))</f>
        <v>150.83500000000001</v>
      </c>
      <c r="E18" s="124">
        <v>0</v>
      </c>
      <c r="F18" s="125">
        <v>0</v>
      </c>
      <c r="G18" s="126">
        <f>IF($C$13*$C$14&lt;'TAS Apr 2018'!P4,(0),((('TAS Bills April 2018'!$C$13*'TAS Bills April 2018'!$C$14)-('TAS Apr 2018'!P4))*'TAS Apr 2018'!Q4/100))</f>
        <v>669.51</v>
      </c>
      <c r="H18" s="127">
        <f>($C$13*$C$15)*'TAS Apr 2018'!AF4/100</f>
        <v>214.35</v>
      </c>
      <c r="I18" s="128">
        <f>SUM(C18:H18)</f>
        <v>1132.1378</v>
      </c>
      <c r="J18" s="129">
        <f>I18*4</f>
        <v>4528.5511999999999</v>
      </c>
      <c r="K18" s="123">
        <v>0</v>
      </c>
      <c r="L18" s="123">
        <f>'TAS Apr 2018'!AY4</f>
        <v>0</v>
      </c>
      <c r="M18" s="123">
        <f>'TAS Apr 2018'!AZ4</f>
        <v>0</v>
      </c>
      <c r="N18" s="123">
        <f>'TAS Apr 2018'!BA4</f>
        <v>0</v>
      </c>
      <c r="O18" s="129">
        <f>J18</f>
        <v>4528.5511999999999</v>
      </c>
      <c r="P18" s="129">
        <f>O18-(O18*M18/100)</f>
        <v>4528.5511999999999</v>
      </c>
      <c r="Q18" s="129">
        <f>O18*1.1</f>
        <v>4981.4063200000001</v>
      </c>
      <c r="R18" s="129">
        <f>P18*1.1</f>
        <v>4981.4063200000001</v>
      </c>
      <c r="S18" s="130">
        <f>'TAS Apr 2018'!BH4</f>
        <v>0</v>
      </c>
      <c r="T18" s="131">
        <f>'TAS Apr 2018'!BI4</f>
        <v>0</v>
      </c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</row>
    <row r="19" spans="1:611" s="108" customFormat="1" ht="15" thickBot="1" x14ac:dyDescent="0.2">
      <c r="A19" s="153" t="str">
        <f>'TAS Apr 2018'!K5</f>
        <v>ERM Power</v>
      </c>
      <c r="B19" s="160" t="str">
        <f>'TAS Apr 2018'!L5</f>
        <v>Adjustable</v>
      </c>
      <c r="C19" s="133">
        <f>91*'TAS Apr 2018'!M5/100</f>
        <v>162.88999999999999</v>
      </c>
      <c r="D19" s="133">
        <f>(C13*C14)*'TAS Apr 2018'!N5/100</f>
        <v>813.4</v>
      </c>
      <c r="E19" s="133">
        <v>0</v>
      </c>
      <c r="F19" s="134">
        <v>0</v>
      </c>
      <c r="G19" s="135">
        <v>0</v>
      </c>
      <c r="H19" s="136">
        <f>($C$13*$C$15)*'TAS Apr 2018'!AF5/100</f>
        <v>229.95</v>
      </c>
      <c r="I19" s="137">
        <f>SUM(C19:H19)</f>
        <v>1206.24</v>
      </c>
      <c r="J19" s="138">
        <f t="shared" ref="J19" si="2">I19*4</f>
        <v>4824.96</v>
      </c>
      <c r="K19" s="132">
        <v>0</v>
      </c>
      <c r="L19" s="132">
        <f>'TAS Apr 2018'!AY5</f>
        <v>0</v>
      </c>
      <c r="M19" s="132">
        <f>'TAS Apr 2018'!AZ5</f>
        <v>0</v>
      </c>
      <c r="N19" s="132">
        <f>'TAS Apr 2018'!BA5</f>
        <v>0</v>
      </c>
      <c r="O19" s="138">
        <f>J19-((I19-C19)*L19/100)*4</f>
        <v>4824.96</v>
      </c>
      <c r="P19" s="138">
        <f>O19-(O19*M19/100)</f>
        <v>4824.96</v>
      </c>
      <c r="Q19" s="138">
        <f>O19*1.1</f>
        <v>5307.4560000000001</v>
      </c>
      <c r="R19" s="138">
        <f>P19*1.1</f>
        <v>5307.4560000000001</v>
      </c>
      <c r="S19" s="139">
        <f>'TAS Apr 2018'!BH5</f>
        <v>0</v>
      </c>
      <c r="T19" s="140">
        <f>'TAS Apr 2018'!BI5</f>
        <v>0</v>
      </c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  <c r="IX19" s="94"/>
      <c r="IY19" s="94"/>
      <c r="IZ19" s="94"/>
      <c r="JA19" s="94"/>
      <c r="JB19" s="94"/>
      <c r="JC19" s="94"/>
      <c r="JD19" s="94"/>
      <c r="JE19" s="94"/>
      <c r="JF19" s="94"/>
      <c r="JG19" s="94"/>
      <c r="JH19" s="94"/>
      <c r="JI19" s="94"/>
      <c r="JJ19" s="94"/>
      <c r="JK19" s="94"/>
      <c r="JL19" s="94"/>
      <c r="JM19" s="94"/>
      <c r="JN19" s="94"/>
      <c r="JO19" s="94"/>
      <c r="JP19" s="94"/>
      <c r="JQ19" s="94"/>
      <c r="JR19" s="94"/>
      <c r="JS19" s="94"/>
      <c r="JT19" s="94"/>
      <c r="JU19" s="94"/>
      <c r="JV19" s="94"/>
      <c r="JW19" s="94"/>
      <c r="JX19" s="94"/>
      <c r="JY19" s="94"/>
      <c r="JZ19" s="94"/>
      <c r="KA19" s="94"/>
      <c r="KB19" s="94"/>
      <c r="KC19" s="94"/>
      <c r="KD19" s="94"/>
      <c r="KE19" s="94"/>
      <c r="KF19" s="94"/>
      <c r="KG19" s="94"/>
      <c r="KH19" s="94"/>
      <c r="KI19" s="94"/>
      <c r="KJ19" s="94"/>
      <c r="KK19" s="94"/>
      <c r="KL19" s="94"/>
      <c r="KM19" s="94"/>
      <c r="KN19" s="94"/>
      <c r="KO19" s="94"/>
      <c r="KP19" s="94"/>
      <c r="KQ19" s="94"/>
      <c r="KR19" s="94"/>
      <c r="KS19" s="94"/>
      <c r="KT19" s="94"/>
      <c r="KU19" s="94"/>
      <c r="KV19" s="94"/>
      <c r="KW19" s="94"/>
      <c r="KX19" s="94"/>
      <c r="KY19" s="94"/>
      <c r="KZ19" s="94"/>
      <c r="LA19" s="94"/>
      <c r="LB19" s="94"/>
      <c r="LC19" s="94"/>
      <c r="LD19" s="94"/>
      <c r="LE19" s="94"/>
      <c r="LF19" s="94"/>
      <c r="LG19" s="94"/>
      <c r="LH19" s="94"/>
      <c r="LI19" s="94"/>
      <c r="LJ19" s="94"/>
      <c r="LK19" s="94"/>
      <c r="LL19" s="94"/>
      <c r="LM19" s="94"/>
      <c r="LN19" s="94"/>
      <c r="LO19" s="94"/>
      <c r="LP19" s="94"/>
      <c r="LQ19" s="94"/>
      <c r="LR19" s="94"/>
      <c r="LS19" s="94"/>
      <c r="LT19" s="94"/>
      <c r="LU19" s="94"/>
      <c r="LV19" s="94"/>
      <c r="LW19" s="94"/>
      <c r="LX19" s="94"/>
      <c r="LY19" s="94"/>
      <c r="LZ19" s="94"/>
      <c r="MA19" s="94"/>
      <c r="MB19" s="94"/>
      <c r="MC19" s="94"/>
      <c r="MD19" s="94"/>
      <c r="ME19" s="94"/>
      <c r="MF19" s="94"/>
      <c r="MG19" s="94"/>
      <c r="MH19" s="94"/>
      <c r="MI19" s="94"/>
      <c r="MJ19" s="94"/>
      <c r="MK19" s="94"/>
      <c r="ML19" s="94"/>
      <c r="MM19" s="94"/>
      <c r="MN19" s="94"/>
      <c r="MO19" s="94"/>
      <c r="MP19" s="94"/>
      <c r="MQ19" s="94"/>
      <c r="MR19" s="94"/>
      <c r="MS19" s="94"/>
      <c r="MT19" s="94"/>
      <c r="MU19" s="94"/>
      <c r="MV19" s="94"/>
      <c r="MW19" s="94"/>
      <c r="MX19" s="94"/>
      <c r="MY19" s="94"/>
      <c r="MZ19" s="94"/>
      <c r="NA19" s="94"/>
      <c r="NB19" s="94"/>
      <c r="NC19" s="94"/>
      <c r="ND19" s="94"/>
      <c r="NE19" s="94"/>
      <c r="NF19" s="94"/>
      <c r="NG19" s="94"/>
      <c r="NH19" s="94"/>
      <c r="NI19" s="94"/>
      <c r="NJ19" s="94"/>
      <c r="NK19" s="94"/>
      <c r="NL19" s="94"/>
      <c r="NM19" s="94"/>
      <c r="NN19" s="94"/>
      <c r="NO19" s="94"/>
      <c r="NP19" s="94"/>
      <c r="NQ19" s="94"/>
      <c r="NR19" s="94"/>
      <c r="NS19" s="94"/>
      <c r="NT19" s="94"/>
      <c r="NU19" s="94"/>
      <c r="NV19" s="94"/>
      <c r="NW19" s="94"/>
      <c r="NX19" s="94"/>
      <c r="NY19" s="94"/>
      <c r="NZ19" s="94"/>
      <c r="OA19" s="94"/>
      <c r="OB19" s="94"/>
      <c r="OC19" s="94"/>
      <c r="OD19" s="94"/>
      <c r="OE19" s="94"/>
      <c r="OF19" s="94"/>
      <c r="OG19" s="94"/>
      <c r="OH19" s="94"/>
      <c r="OI19" s="94"/>
      <c r="OJ19" s="94"/>
      <c r="OK19" s="94"/>
      <c r="OL19" s="94"/>
      <c r="OM19" s="94"/>
      <c r="ON19" s="94"/>
      <c r="OO19" s="94"/>
      <c r="OP19" s="94"/>
      <c r="OQ19" s="94"/>
      <c r="OR19" s="94"/>
      <c r="OS19" s="94"/>
      <c r="OT19" s="94"/>
      <c r="OU19" s="94"/>
      <c r="OV19" s="94"/>
      <c r="OW19" s="94"/>
      <c r="OX19" s="94"/>
      <c r="OY19" s="94"/>
      <c r="OZ19" s="94"/>
      <c r="PA19" s="94"/>
      <c r="PB19" s="94"/>
      <c r="PC19" s="94"/>
      <c r="PD19" s="94"/>
      <c r="PE19" s="94"/>
      <c r="PF19" s="94"/>
      <c r="PG19" s="94"/>
      <c r="PH19" s="94"/>
      <c r="PI19" s="94"/>
      <c r="PJ19" s="94"/>
      <c r="PK19" s="94"/>
      <c r="PL19" s="94"/>
      <c r="PM19" s="94"/>
      <c r="PN19" s="94"/>
      <c r="PO19" s="94"/>
      <c r="PP19" s="94"/>
      <c r="PQ19" s="94"/>
      <c r="PR19" s="94"/>
      <c r="PS19" s="94"/>
      <c r="PT19" s="94"/>
      <c r="PU19" s="94"/>
      <c r="PV19" s="94"/>
      <c r="PW19" s="94"/>
      <c r="PX19" s="94"/>
      <c r="PY19" s="94"/>
      <c r="PZ19" s="94"/>
      <c r="QA19" s="94"/>
      <c r="QB19" s="94"/>
      <c r="QC19" s="94"/>
      <c r="QD19" s="94"/>
      <c r="QE19" s="94"/>
      <c r="QF19" s="94"/>
      <c r="QG19" s="94"/>
      <c r="QH19" s="94"/>
      <c r="QI19" s="94"/>
      <c r="QJ19" s="94"/>
      <c r="QK19" s="94"/>
      <c r="QL19" s="94"/>
      <c r="QM19" s="94"/>
      <c r="QN19" s="94"/>
      <c r="QO19" s="94"/>
      <c r="QP19" s="94"/>
      <c r="QQ19" s="94"/>
      <c r="QR19" s="94"/>
      <c r="QS19" s="94"/>
      <c r="QT19" s="94"/>
      <c r="QU19" s="94"/>
      <c r="QV19" s="94"/>
      <c r="QW19" s="94"/>
      <c r="QX19" s="94"/>
      <c r="QY19" s="94"/>
      <c r="QZ19" s="94"/>
      <c r="RA19" s="94"/>
      <c r="RB19" s="94"/>
      <c r="RC19" s="94"/>
      <c r="RD19" s="94"/>
      <c r="RE19" s="94"/>
      <c r="RF19" s="94"/>
      <c r="RG19" s="94"/>
      <c r="RH19" s="94"/>
      <c r="RI19" s="94"/>
      <c r="RJ19" s="94"/>
      <c r="RK19" s="94"/>
      <c r="RL19" s="94"/>
      <c r="RM19" s="94"/>
      <c r="RN19" s="94"/>
      <c r="RO19" s="94"/>
      <c r="RP19" s="94"/>
      <c r="RQ19" s="94"/>
      <c r="RR19" s="94"/>
      <c r="RS19" s="94"/>
      <c r="RT19" s="94"/>
      <c r="RU19" s="94"/>
      <c r="RV19" s="94"/>
      <c r="RW19" s="94"/>
      <c r="RX19" s="94"/>
      <c r="RY19" s="94"/>
      <c r="RZ19" s="94"/>
      <c r="SA19" s="94"/>
      <c r="SB19" s="94"/>
      <c r="SC19" s="94"/>
      <c r="SD19" s="94"/>
      <c r="SE19" s="94"/>
      <c r="SF19" s="94"/>
      <c r="SG19" s="94"/>
      <c r="SH19" s="94"/>
      <c r="SI19" s="94"/>
      <c r="SJ19" s="94"/>
      <c r="SK19" s="94"/>
      <c r="SL19" s="94"/>
      <c r="SM19" s="94"/>
      <c r="SN19" s="94"/>
      <c r="SO19" s="94"/>
      <c r="SP19" s="94"/>
      <c r="SQ19" s="94"/>
      <c r="SR19" s="94"/>
      <c r="SS19" s="94"/>
      <c r="ST19" s="94"/>
      <c r="SU19" s="94"/>
      <c r="SV19" s="94"/>
      <c r="SW19" s="94"/>
      <c r="SX19" s="94"/>
      <c r="SY19" s="94"/>
      <c r="SZ19" s="94"/>
      <c r="TA19" s="94"/>
      <c r="TB19" s="94"/>
      <c r="TC19" s="94"/>
      <c r="TD19" s="94"/>
      <c r="TE19" s="94"/>
      <c r="TF19" s="94"/>
      <c r="TG19" s="94"/>
      <c r="TH19" s="94"/>
      <c r="TI19" s="94"/>
      <c r="TJ19" s="94"/>
      <c r="TK19" s="94"/>
      <c r="TL19" s="94"/>
      <c r="TM19" s="94"/>
      <c r="TN19" s="94"/>
      <c r="TO19" s="94"/>
      <c r="TP19" s="94"/>
      <c r="TQ19" s="94"/>
      <c r="TR19" s="94"/>
      <c r="TS19" s="94"/>
      <c r="TT19" s="94"/>
      <c r="TU19" s="94"/>
      <c r="TV19" s="94"/>
      <c r="TW19" s="94"/>
      <c r="TX19" s="94"/>
      <c r="TY19" s="94"/>
      <c r="TZ19" s="94"/>
      <c r="UA19" s="94"/>
      <c r="UB19" s="94"/>
      <c r="UC19" s="94"/>
      <c r="UD19" s="94"/>
      <c r="UE19" s="94"/>
      <c r="UF19" s="94"/>
      <c r="UG19" s="94"/>
      <c r="UH19" s="94"/>
      <c r="UI19" s="94"/>
      <c r="UJ19" s="94"/>
      <c r="UK19" s="94"/>
      <c r="UL19" s="94"/>
      <c r="UM19" s="94"/>
      <c r="UN19" s="94"/>
      <c r="UO19" s="94"/>
      <c r="UP19" s="94"/>
      <c r="UQ19" s="94"/>
      <c r="UR19" s="94"/>
      <c r="US19" s="94"/>
      <c r="UT19" s="94"/>
      <c r="UU19" s="94"/>
      <c r="UV19" s="94"/>
      <c r="UW19" s="94"/>
      <c r="UX19" s="94"/>
      <c r="UY19" s="94"/>
      <c r="UZ19" s="94"/>
      <c r="VA19" s="94"/>
      <c r="VB19" s="94"/>
      <c r="VC19" s="94"/>
      <c r="VD19" s="94"/>
      <c r="VE19" s="94"/>
      <c r="VF19" s="94"/>
      <c r="VG19" s="94"/>
      <c r="VH19" s="94"/>
      <c r="VI19" s="94"/>
      <c r="VJ19" s="94"/>
      <c r="VK19" s="94"/>
      <c r="VL19" s="94"/>
      <c r="VM19" s="94"/>
      <c r="VN19" s="94"/>
      <c r="VO19" s="94"/>
      <c r="VP19" s="94"/>
      <c r="VQ19" s="94"/>
      <c r="VR19" s="94"/>
      <c r="VS19" s="94"/>
      <c r="VT19" s="94"/>
      <c r="VU19" s="94"/>
      <c r="VV19" s="94"/>
      <c r="VW19" s="94"/>
      <c r="VX19" s="94"/>
      <c r="VY19" s="94"/>
      <c r="VZ19" s="94"/>
      <c r="WA19" s="94"/>
      <c r="WB19" s="94"/>
      <c r="WC19" s="94"/>
      <c r="WD19" s="94"/>
      <c r="WE19" s="94"/>
      <c r="WF19" s="94"/>
      <c r="WG19" s="94"/>
      <c r="WH19" s="94"/>
      <c r="WI19" s="94"/>
      <c r="WJ19" s="94"/>
      <c r="WK19" s="94"/>
      <c r="WL19" s="94"/>
      <c r="WM19" s="94"/>
    </row>
    <row r="20" spans="1:611" s="112" customFormat="1" ht="14" x14ac:dyDescent="0.1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</row>
    <row r="21" spans="1:611" s="112" customFormat="1" ht="15" thickBo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4"/>
      <c r="P21" s="111"/>
      <c r="Q21" s="114"/>
      <c r="R21" s="114"/>
      <c r="S21" s="114"/>
      <c r="T21" s="111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</row>
    <row r="22" spans="1:611" ht="14" x14ac:dyDescent="0.15">
      <c r="A22" s="62" t="s">
        <v>33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</row>
    <row r="23" spans="1:611" ht="14" x14ac:dyDescent="0.15">
      <c r="A23" s="66" t="s">
        <v>22</v>
      </c>
      <c r="B23" s="64"/>
      <c r="C23" s="85">
        <v>5000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7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</row>
    <row r="24" spans="1:611" ht="14" x14ac:dyDescent="0.15">
      <c r="A24" s="66" t="s">
        <v>23</v>
      </c>
      <c r="B24" s="64"/>
      <c r="C24" s="86">
        <v>0.3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7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</row>
    <row r="25" spans="1:611" ht="14" x14ac:dyDescent="0.15">
      <c r="A25" s="66" t="s">
        <v>24</v>
      </c>
      <c r="B25" s="64"/>
      <c r="C25" s="86">
        <v>0.4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7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</row>
    <row r="26" spans="1:611" ht="14" x14ac:dyDescent="0.15">
      <c r="A26" s="66" t="s">
        <v>21</v>
      </c>
      <c r="B26" s="64"/>
      <c r="C26" s="86">
        <v>0.3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7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</row>
    <row r="27" spans="1:611" ht="14" x14ac:dyDescent="0.15">
      <c r="A27" s="66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7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</row>
    <row r="28" spans="1:611" ht="75" x14ac:dyDescent="0.15">
      <c r="A28" s="146" t="s">
        <v>35</v>
      </c>
      <c r="B28" s="147" t="s">
        <v>36</v>
      </c>
      <c r="C28" s="141" t="s">
        <v>27</v>
      </c>
      <c r="D28" s="141" t="s">
        <v>153</v>
      </c>
      <c r="E28" s="141" t="s">
        <v>83</v>
      </c>
      <c r="F28" s="141" t="s">
        <v>154</v>
      </c>
      <c r="G28" s="141" t="s">
        <v>155</v>
      </c>
      <c r="H28" s="141" t="s">
        <v>156</v>
      </c>
      <c r="I28" s="141" t="s">
        <v>87</v>
      </c>
      <c r="J28" s="142" t="s">
        <v>157</v>
      </c>
      <c r="K28" s="143" t="s">
        <v>94</v>
      </c>
      <c r="L28" s="143" t="s">
        <v>123</v>
      </c>
      <c r="M28" s="143" t="s">
        <v>124</v>
      </c>
      <c r="N28" s="143" t="s">
        <v>125</v>
      </c>
      <c r="O28" s="144" t="s">
        <v>158</v>
      </c>
      <c r="P28" s="144" t="s">
        <v>159</v>
      </c>
      <c r="Q28" s="144" t="s">
        <v>25</v>
      </c>
      <c r="R28" s="144" t="s">
        <v>26</v>
      </c>
      <c r="S28" s="143" t="s">
        <v>55</v>
      </c>
      <c r="T28" s="145" t="s">
        <v>160</v>
      </c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</row>
    <row r="29" spans="1:611" ht="14" x14ac:dyDescent="0.15">
      <c r="A29" s="150" t="str">
        <f>'TAS Apr 2018'!K6</f>
        <v>Aurora Energy</v>
      </c>
      <c r="B29" s="159" t="str">
        <f>'TAS Apr 2018'!L6</f>
        <v>Regulated</v>
      </c>
      <c r="C29" s="124">
        <f>91*'TAS Apr 2018'!M6/100</f>
        <v>89.503050000000002</v>
      </c>
      <c r="D29" s="124">
        <f>($C$23*$C$24)*'TAS Apr 2018'!N6/100</f>
        <v>372.375</v>
      </c>
      <c r="E29" s="124">
        <v>0</v>
      </c>
      <c r="F29" s="125">
        <v>0</v>
      </c>
      <c r="G29" s="126">
        <f>($C$23*$C$25)*'TAS Apr 2018'!AI6/100</f>
        <v>358.86</v>
      </c>
      <c r="H29" s="127">
        <f>($C$23*$C$26)*'TAS Apr 2018'!W6/100</f>
        <v>157.42499999999998</v>
      </c>
      <c r="I29" s="128">
        <f>SUM(C29:H29)</f>
        <v>978.16305</v>
      </c>
      <c r="J29" s="129">
        <f>I29*4</f>
        <v>3912.6522</v>
      </c>
      <c r="K29" s="123">
        <v>0</v>
      </c>
      <c r="L29" s="123">
        <f>'TAS Apr 2018'!AY6</f>
        <v>0</v>
      </c>
      <c r="M29" s="123">
        <f>'TAS Apr 2018'!AZ6</f>
        <v>0</v>
      </c>
      <c r="N29" s="123">
        <f>'TAS Apr 2018'!BA6</f>
        <v>0</v>
      </c>
      <c r="O29" s="129">
        <f>J29</f>
        <v>3912.6522</v>
      </c>
      <c r="P29" s="129">
        <f>O29-(O29*M29/100)</f>
        <v>3912.6522</v>
      </c>
      <c r="Q29" s="129">
        <f>O29*1.1</f>
        <v>4303.9174200000007</v>
      </c>
      <c r="R29" s="129">
        <f>P29*1.1</f>
        <v>4303.9174200000007</v>
      </c>
      <c r="S29" s="130">
        <f>'TAS Apr 2018'!BH6</f>
        <v>0</v>
      </c>
      <c r="T29" s="131">
        <f>'TAS Apr 2018'!BI6</f>
        <v>0</v>
      </c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</row>
    <row r="30" spans="1:611" s="108" customFormat="1" ht="15" thickBot="1" x14ac:dyDescent="0.2">
      <c r="A30" s="153" t="str">
        <f>'TAS Apr 2018'!K7</f>
        <v>ERM Power</v>
      </c>
      <c r="B30" s="160" t="str">
        <f>'TAS Apr 2018'!L7</f>
        <v>Adjustable</v>
      </c>
      <c r="C30" s="133">
        <f>91*'TAS Apr 2018'!M7/100</f>
        <v>106.47</v>
      </c>
      <c r="D30" s="133">
        <f>($C$23*$C$24)*'TAS Apr 2018'!N7/100</f>
        <v>377.85</v>
      </c>
      <c r="E30" s="133">
        <v>0</v>
      </c>
      <c r="F30" s="134">
        <v>0</v>
      </c>
      <c r="G30" s="135">
        <f>($C$23*$C$25)*'TAS Apr 2018'!AI7/100</f>
        <v>375.2</v>
      </c>
      <c r="H30" s="136">
        <f>($C$23*$C$26)*'TAS Apr 2018'!W7/100</f>
        <v>196.5</v>
      </c>
      <c r="I30" s="137">
        <f>SUM(C30:H30)</f>
        <v>1056.02</v>
      </c>
      <c r="J30" s="138">
        <f t="shared" ref="J30" si="3">I30*4</f>
        <v>4224.08</v>
      </c>
      <c r="K30" s="132">
        <v>0</v>
      </c>
      <c r="L30" s="132">
        <f>'TAS Apr 2018'!AY7</f>
        <v>0</v>
      </c>
      <c r="M30" s="132">
        <f>'TAS Apr 2018'!AZ7</f>
        <v>0</v>
      </c>
      <c r="N30" s="132">
        <f>'TAS Apr 2018'!BA7</f>
        <v>0</v>
      </c>
      <c r="O30" s="138">
        <f>J30-((I30-C30)*L30/100)*4</f>
        <v>4224.08</v>
      </c>
      <c r="P30" s="138">
        <f>O30-(O30*M30/100)</f>
        <v>4224.08</v>
      </c>
      <c r="Q30" s="138">
        <f>O30*1.1</f>
        <v>4646.4880000000003</v>
      </c>
      <c r="R30" s="138">
        <f>P30*1.1</f>
        <v>4646.4880000000003</v>
      </c>
      <c r="S30" s="139">
        <f>'TAS Apr 2018'!BH7</f>
        <v>0</v>
      </c>
      <c r="T30" s="140">
        <f>'TAS Apr 2018'!BI7</f>
        <v>0</v>
      </c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  <c r="IU30" s="94"/>
      <c r="IV30" s="94"/>
      <c r="IW30" s="94"/>
      <c r="IX30" s="94"/>
      <c r="IY30" s="94"/>
      <c r="IZ30" s="94"/>
      <c r="JA30" s="94"/>
      <c r="JB30" s="94"/>
      <c r="JC30" s="94"/>
      <c r="JD30" s="94"/>
      <c r="JE30" s="94"/>
      <c r="JF30" s="94"/>
      <c r="JG30" s="94"/>
      <c r="JH30" s="94"/>
      <c r="JI30" s="94"/>
      <c r="JJ30" s="94"/>
      <c r="JK30" s="94"/>
      <c r="JL30" s="94"/>
      <c r="JM30" s="94"/>
      <c r="JN30" s="94"/>
      <c r="JO30" s="94"/>
      <c r="JP30" s="94"/>
      <c r="JQ30" s="94"/>
      <c r="JR30" s="94"/>
      <c r="JS30" s="94"/>
      <c r="JT30" s="94"/>
      <c r="JU30" s="94"/>
      <c r="JV30" s="94"/>
      <c r="JW30" s="94"/>
      <c r="JX30" s="94"/>
      <c r="JY30" s="94"/>
      <c r="JZ30" s="94"/>
      <c r="KA30" s="94"/>
      <c r="KB30" s="94"/>
      <c r="KC30" s="94"/>
      <c r="KD30" s="94"/>
      <c r="KE30" s="94"/>
      <c r="KF30" s="94"/>
      <c r="KG30" s="94"/>
      <c r="KH30" s="94"/>
      <c r="KI30" s="94"/>
      <c r="KJ30" s="94"/>
      <c r="KK30" s="94"/>
      <c r="KL30" s="94"/>
      <c r="KM30" s="94"/>
      <c r="KN30" s="94"/>
      <c r="KO30" s="94"/>
      <c r="KP30" s="94"/>
      <c r="KQ30" s="94"/>
      <c r="KR30" s="94"/>
      <c r="KS30" s="94"/>
      <c r="KT30" s="94"/>
      <c r="KU30" s="94"/>
      <c r="KV30" s="94"/>
      <c r="KW30" s="94"/>
      <c r="KX30" s="94"/>
      <c r="KY30" s="94"/>
      <c r="KZ30" s="94"/>
      <c r="LA30" s="94"/>
      <c r="LB30" s="94"/>
      <c r="LC30" s="94"/>
      <c r="LD30" s="94"/>
      <c r="LE30" s="94"/>
      <c r="LF30" s="94"/>
      <c r="LG30" s="94"/>
      <c r="LH30" s="94"/>
      <c r="LI30" s="94"/>
      <c r="LJ30" s="94"/>
      <c r="LK30" s="94"/>
      <c r="LL30" s="94"/>
      <c r="LM30" s="94"/>
      <c r="LN30" s="94"/>
      <c r="LO30" s="94"/>
      <c r="LP30" s="94"/>
      <c r="LQ30" s="94"/>
      <c r="LR30" s="94"/>
      <c r="LS30" s="94"/>
      <c r="LT30" s="94"/>
      <c r="LU30" s="94"/>
      <c r="LV30" s="94"/>
      <c r="LW30" s="94"/>
      <c r="LX30" s="94"/>
      <c r="LY30" s="94"/>
      <c r="LZ30" s="94"/>
      <c r="MA30" s="94"/>
      <c r="MB30" s="94"/>
      <c r="MC30" s="94"/>
      <c r="MD30" s="94"/>
      <c r="ME30" s="94"/>
      <c r="MF30" s="94"/>
      <c r="MG30" s="94"/>
      <c r="MH30" s="94"/>
      <c r="MI30" s="94"/>
      <c r="MJ30" s="94"/>
      <c r="MK30" s="94"/>
      <c r="ML30" s="94"/>
      <c r="MM30" s="94"/>
      <c r="MN30" s="94"/>
      <c r="MO30" s="94"/>
      <c r="MP30" s="94"/>
      <c r="MQ30" s="94"/>
      <c r="MR30" s="94"/>
      <c r="MS30" s="94"/>
      <c r="MT30" s="94"/>
      <c r="MU30" s="94"/>
      <c r="MV30" s="94"/>
      <c r="MW30" s="94"/>
      <c r="MX30" s="94"/>
      <c r="MY30" s="94"/>
      <c r="MZ30" s="94"/>
      <c r="NA30" s="94"/>
      <c r="NB30" s="94"/>
      <c r="NC30" s="94"/>
      <c r="ND30" s="94"/>
      <c r="NE30" s="94"/>
      <c r="NF30" s="94"/>
      <c r="NG30" s="94"/>
      <c r="NH30" s="94"/>
      <c r="NI30" s="94"/>
      <c r="NJ30" s="94"/>
      <c r="NK30" s="94"/>
      <c r="NL30" s="94"/>
      <c r="NM30" s="94"/>
      <c r="NN30" s="94"/>
      <c r="NO30" s="94"/>
      <c r="NP30" s="94"/>
      <c r="NQ30" s="94"/>
      <c r="NR30" s="94"/>
      <c r="NS30" s="94"/>
      <c r="NT30" s="94"/>
      <c r="NU30" s="94"/>
      <c r="NV30" s="94"/>
      <c r="NW30" s="94"/>
      <c r="NX30" s="94"/>
      <c r="NY30" s="94"/>
      <c r="NZ30" s="94"/>
      <c r="OA30" s="94"/>
      <c r="OB30" s="94"/>
      <c r="OC30" s="94"/>
      <c r="OD30" s="94"/>
      <c r="OE30" s="94"/>
      <c r="OF30" s="94"/>
      <c r="OG30" s="94"/>
      <c r="OH30" s="94"/>
      <c r="OI30" s="94"/>
      <c r="OJ30" s="94"/>
      <c r="OK30" s="94"/>
      <c r="OL30" s="94"/>
      <c r="OM30" s="94"/>
      <c r="ON30" s="94"/>
      <c r="OO30" s="94"/>
      <c r="OP30" s="94"/>
      <c r="OQ30" s="94"/>
      <c r="OR30" s="94"/>
      <c r="OS30" s="94"/>
      <c r="OT30" s="94"/>
      <c r="OU30" s="94"/>
      <c r="OV30" s="94"/>
      <c r="OW30" s="94"/>
      <c r="OX30" s="94"/>
      <c r="OY30" s="94"/>
      <c r="OZ30" s="94"/>
      <c r="PA30" s="94"/>
      <c r="PB30" s="94"/>
      <c r="PC30" s="94"/>
      <c r="PD30" s="94"/>
      <c r="PE30" s="94"/>
      <c r="PF30" s="94"/>
      <c r="PG30" s="94"/>
      <c r="PH30" s="94"/>
      <c r="PI30" s="94"/>
      <c r="PJ30" s="94"/>
      <c r="PK30" s="94"/>
      <c r="PL30" s="94"/>
      <c r="PM30" s="94"/>
      <c r="PN30" s="94"/>
      <c r="PO30" s="94"/>
      <c r="PP30" s="94"/>
      <c r="PQ30" s="94"/>
      <c r="PR30" s="94"/>
      <c r="PS30" s="94"/>
      <c r="PT30" s="94"/>
      <c r="PU30" s="94"/>
      <c r="PV30" s="94"/>
      <c r="PW30" s="94"/>
      <c r="PX30" s="94"/>
      <c r="PY30" s="94"/>
      <c r="PZ30" s="94"/>
      <c r="QA30" s="94"/>
      <c r="QB30" s="94"/>
      <c r="QC30" s="94"/>
      <c r="QD30" s="94"/>
      <c r="QE30" s="94"/>
      <c r="QF30" s="94"/>
      <c r="QG30" s="94"/>
      <c r="QH30" s="94"/>
      <c r="QI30" s="94"/>
      <c r="QJ30" s="94"/>
      <c r="QK30" s="94"/>
      <c r="QL30" s="94"/>
      <c r="QM30" s="94"/>
      <c r="QN30" s="94"/>
      <c r="QO30" s="94"/>
      <c r="QP30" s="94"/>
      <c r="QQ30" s="94"/>
      <c r="QR30" s="94"/>
      <c r="QS30" s="94"/>
      <c r="QT30" s="94"/>
      <c r="QU30" s="94"/>
      <c r="QV30" s="94"/>
      <c r="QW30" s="94"/>
      <c r="QX30" s="94"/>
      <c r="QY30" s="94"/>
      <c r="QZ30" s="94"/>
      <c r="RA30" s="94"/>
      <c r="RB30" s="94"/>
      <c r="RC30" s="94"/>
      <c r="RD30" s="94"/>
      <c r="RE30" s="94"/>
      <c r="RF30" s="94"/>
      <c r="RG30" s="94"/>
      <c r="RH30" s="94"/>
      <c r="RI30" s="94"/>
      <c r="RJ30" s="94"/>
      <c r="RK30" s="94"/>
      <c r="RL30" s="94"/>
      <c r="RM30" s="94"/>
      <c r="RN30" s="94"/>
      <c r="RO30" s="94"/>
      <c r="RP30" s="94"/>
      <c r="RQ30" s="94"/>
      <c r="RR30" s="94"/>
      <c r="RS30" s="94"/>
      <c r="RT30" s="94"/>
      <c r="RU30" s="94"/>
      <c r="RV30" s="94"/>
      <c r="RW30" s="94"/>
      <c r="RX30" s="94"/>
      <c r="RY30" s="94"/>
      <c r="RZ30" s="94"/>
      <c r="SA30" s="94"/>
      <c r="SB30" s="94"/>
      <c r="SC30" s="94"/>
      <c r="SD30" s="94"/>
      <c r="SE30" s="94"/>
      <c r="SF30" s="94"/>
      <c r="SG30" s="94"/>
      <c r="SH30" s="94"/>
      <c r="SI30" s="94"/>
      <c r="SJ30" s="94"/>
      <c r="SK30" s="94"/>
      <c r="SL30" s="94"/>
      <c r="SM30" s="94"/>
      <c r="SN30" s="94"/>
      <c r="SO30" s="94"/>
      <c r="SP30" s="94"/>
      <c r="SQ30" s="94"/>
      <c r="SR30" s="94"/>
      <c r="SS30" s="94"/>
      <c r="ST30" s="94"/>
      <c r="SU30" s="94"/>
      <c r="SV30" s="94"/>
      <c r="SW30" s="94"/>
      <c r="SX30" s="94"/>
      <c r="SY30" s="94"/>
      <c r="SZ30" s="94"/>
      <c r="TA30" s="94"/>
      <c r="TB30" s="94"/>
      <c r="TC30" s="94"/>
      <c r="TD30" s="94"/>
      <c r="TE30" s="94"/>
      <c r="TF30" s="94"/>
      <c r="TG30" s="94"/>
      <c r="TH30" s="94"/>
      <c r="TI30" s="94"/>
      <c r="TJ30" s="94"/>
      <c r="TK30" s="94"/>
      <c r="TL30" s="94"/>
      <c r="TM30" s="94"/>
      <c r="TN30" s="94"/>
      <c r="TO30" s="94"/>
      <c r="TP30" s="94"/>
      <c r="TQ30" s="94"/>
      <c r="TR30" s="94"/>
      <c r="TS30" s="94"/>
      <c r="TT30" s="94"/>
      <c r="TU30" s="94"/>
      <c r="TV30" s="94"/>
      <c r="TW30" s="94"/>
      <c r="TX30" s="94"/>
      <c r="TY30" s="94"/>
      <c r="TZ30" s="94"/>
      <c r="UA30" s="94"/>
      <c r="UB30" s="94"/>
      <c r="UC30" s="94"/>
      <c r="UD30" s="94"/>
      <c r="UE30" s="94"/>
      <c r="UF30" s="94"/>
      <c r="UG30" s="94"/>
      <c r="UH30" s="94"/>
      <c r="UI30" s="94"/>
      <c r="UJ30" s="94"/>
      <c r="UK30" s="94"/>
      <c r="UL30" s="94"/>
      <c r="UM30" s="94"/>
      <c r="UN30" s="94"/>
      <c r="UO30" s="94"/>
      <c r="UP30" s="94"/>
      <c r="UQ30" s="94"/>
      <c r="UR30" s="94"/>
      <c r="US30" s="94"/>
      <c r="UT30" s="94"/>
      <c r="UU30" s="94"/>
      <c r="UV30" s="94"/>
      <c r="UW30" s="94"/>
      <c r="UX30" s="94"/>
      <c r="UY30" s="94"/>
      <c r="UZ30" s="94"/>
      <c r="VA30" s="94"/>
      <c r="VB30" s="94"/>
      <c r="VC30" s="94"/>
      <c r="VD30" s="94"/>
      <c r="VE30" s="94"/>
      <c r="VF30" s="94"/>
      <c r="VG30" s="94"/>
      <c r="VH30" s="94"/>
      <c r="VI30" s="94"/>
      <c r="VJ30" s="94"/>
      <c r="VK30" s="94"/>
      <c r="VL30" s="94"/>
      <c r="VM30" s="94"/>
      <c r="VN30" s="94"/>
      <c r="VO30" s="94"/>
      <c r="VP30" s="94"/>
      <c r="VQ30" s="94"/>
      <c r="VR30" s="94"/>
      <c r="VS30" s="94"/>
      <c r="VT30" s="94"/>
      <c r="VU30" s="94"/>
      <c r="VV30" s="94"/>
      <c r="VW30" s="94"/>
      <c r="VX30" s="94"/>
      <c r="VY30" s="94"/>
      <c r="VZ30" s="94"/>
      <c r="WA30" s="94"/>
      <c r="WB30" s="94"/>
      <c r="WC30" s="94"/>
      <c r="WD30" s="94"/>
      <c r="WE30" s="94"/>
      <c r="WF30" s="94"/>
      <c r="WG30" s="94"/>
      <c r="WH30" s="94"/>
      <c r="WI30" s="94"/>
      <c r="WJ30" s="94"/>
      <c r="WK30" s="94"/>
      <c r="WL30" s="94"/>
      <c r="WM30" s="94"/>
    </row>
    <row r="31" spans="1:611" s="112" customFormat="1" ht="14" x14ac:dyDescent="0.1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</row>
    <row r="32" spans="1:611" s="112" customFormat="1" ht="14" x14ac:dyDescent="0.1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6"/>
      <c r="P32" s="116"/>
      <c r="Q32" s="116"/>
      <c r="R32" s="116"/>
      <c r="S32" s="116"/>
      <c r="T32" s="111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</row>
    <row r="33" spans="1:49" s="112" customFormat="1" ht="14" x14ac:dyDescent="0.1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6"/>
      <c r="P33" s="116"/>
      <c r="Q33" s="116"/>
      <c r="R33" s="116"/>
      <c r="S33" s="116"/>
      <c r="T33" s="111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</row>
    <row r="34" spans="1:49" s="112" customFormat="1" ht="14" x14ac:dyDescent="0.1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6"/>
      <c r="P34" s="116"/>
      <c r="Q34" s="116"/>
      <c r="R34" s="116"/>
      <c r="S34" s="116"/>
      <c r="T34" s="111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</row>
    <row r="35" spans="1:49" s="112" customFormat="1" ht="14" x14ac:dyDescent="0.1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6"/>
      <c r="P35" s="116"/>
      <c r="Q35" s="116"/>
      <c r="R35" s="116"/>
      <c r="S35" s="116"/>
      <c r="T35" s="111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</row>
    <row r="36" spans="1:49" s="112" customFormat="1" ht="14" x14ac:dyDescent="0.1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6"/>
      <c r="P36" s="116"/>
      <c r="Q36" s="116"/>
      <c r="R36" s="116"/>
      <c r="S36" s="116"/>
      <c r="T36" s="111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</row>
    <row r="37" spans="1:49" s="112" customFormat="1" ht="14" x14ac:dyDescent="0.1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6"/>
      <c r="P37" s="116"/>
      <c r="Q37" s="116"/>
      <c r="R37" s="116"/>
      <c r="S37" s="116"/>
      <c r="T37" s="111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</row>
    <row r="38" spans="1:49" s="112" customFormat="1" ht="14" x14ac:dyDescent="0.1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6"/>
      <c r="P38" s="116"/>
      <c r="Q38" s="116"/>
      <c r="R38" s="116"/>
      <c r="S38" s="116"/>
      <c r="T38" s="111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</row>
    <row r="39" spans="1:49" s="112" customFormat="1" ht="14" x14ac:dyDescent="0.1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6"/>
      <c r="P39" s="116"/>
      <c r="Q39" s="116"/>
      <c r="R39" s="116"/>
      <c r="S39" s="116"/>
      <c r="T39" s="111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</row>
    <row r="40" spans="1:49" s="112" customFormat="1" ht="14" x14ac:dyDescent="0.1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6"/>
      <c r="P40" s="116"/>
      <c r="Q40" s="116"/>
      <c r="R40" s="116"/>
      <c r="S40" s="116"/>
      <c r="T40" s="111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</row>
    <row r="41" spans="1:49" s="112" customFormat="1" ht="14" x14ac:dyDescent="0.1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6"/>
      <c r="P41" s="116"/>
      <c r="Q41" s="116"/>
      <c r="R41" s="116"/>
      <c r="S41" s="116"/>
      <c r="T41" s="111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</row>
    <row r="42" spans="1:49" s="112" customFormat="1" ht="14" x14ac:dyDescent="0.1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6"/>
      <c r="P42" s="116"/>
      <c r="Q42" s="116"/>
      <c r="R42" s="116"/>
      <c r="S42" s="116"/>
      <c r="T42" s="111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</row>
    <row r="43" spans="1:49" s="112" customFormat="1" ht="14" x14ac:dyDescent="0.1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6"/>
      <c r="P43" s="116"/>
      <c r="Q43" s="116"/>
      <c r="R43" s="116"/>
      <c r="S43" s="116"/>
      <c r="T43" s="111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</row>
    <row r="44" spans="1:49" s="112" customFormat="1" ht="14" x14ac:dyDescent="0.1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6"/>
      <c r="P44" s="116"/>
      <c r="Q44" s="116"/>
      <c r="R44" s="116"/>
      <c r="S44" s="116"/>
      <c r="T44" s="111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</row>
    <row r="45" spans="1:49" s="112" customFormat="1" ht="14" x14ac:dyDescent="0.1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6"/>
      <c r="P45" s="116"/>
      <c r="Q45" s="116"/>
      <c r="R45" s="116"/>
      <c r="S45" s="116"/>
      <c r="T45" s="111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</row>
    <row r="46" spans="1:49" s="112" customFormat="1" ht="14" x14ac:dyDescent="0.1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6"/>
      <c r="P46" s="116"/>
      <c r="Q46" s="116"/>
      <c r="R46" s="116"/>
      <c r="S46" s="116"/>
      <c r="T46" s="111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</row>
    <row r="47" spans="1:49" s="112" customFormat="1" ht="14" x14ac:dyDescent="0.1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6"/>
      <c r="P47" s="116"/>
      <c r="Q47" s="116"/>
      <c r="R47" s="116"/>
      <c r="S47" s="116"/>
      <c r="T47" s="111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</row>
    <row r="48" spans="1:49" s="112" customFormat="1" ht="14" x14ac:dyDescent="0.15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6"/>
      <c r="P48" s="116"/>
      <c r="Q48" s="116"/>
      <c r="R48" s="116"/>
      <c r="S48" s="116"/>
      <c r="T48" s="111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</row>
    <row r="49" spans="1:49" s="112" customFormat="1" ht="14" x14ac:dyDescent="0.15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6"/>
      <c r="P49" s="116"/>
      <c r="Q49" s="116"/>
      <c r="R49" s="116"/>
      <c r="S49" s="116"/>
      <c r="T49" s="111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</row>
    <row r="50" spans="1:49" s="112" customFormat="1" ht="14" x14ac:dyDescent="0.15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6"/>
      <c r="P50" s="116"/>
      <c r="Q50" s="116"/>
      <c r="R50" s="116"/>
      <c r="S50" s="116"/>
      <c r="T50" s="111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</row>
    <row r="51" spans="1:49" s="112" customFormat="1" ht="14" x14ac:dyDescent="0.15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6"/>
      <c r="P51" s="116"/>
      <c r="Q51" s="116"/>
      <c r="R51" s="116"/>
      <c r="S51" s="116"/>
      <c r="T51" s="111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</row>
    <row r="52" spans="1:49" s="112" customFormat="1" ht="14" x14ac:dyDescent="0.15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6"/>
      <c r="P52" s="116"/>
      <c r="Q52" s="116"/>
      <c r="R52" s="116"/>
      <c r="S52" s="116"/>
      <c r="T52" s="111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</row>
    <row r="53" spans="1:49" s="112" customFormat="1" ht="14" x14ac:dyDescent="0.15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6"/>
      <c r="P53" s="116"/>
      <c r="Q53" s="116"/>
      <c r="R53" s="116"/>
      <c r="S53" s="116"/>
      <c r="T53" s="111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</row>
    <row r="54" spans="1:49" s="112" customFormat="1" ht="14" x14ac:dyDescent="0.15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6"/>
      <c r="P54" s="116"/>
      <c r="Q54" s="116"/>
      <c r="R54" s="116"/>
      <c r="S54" s="116"/>
      <c r="T54" s="111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</row>
    <row r="55" spans="1:49" s="112" customFormat="1" ht="14" x14ac:dyDescent="0.15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6"/>
      <c r="P55" s="116"/>
      <c r="Q55" s="116"/>
      <c r="R55" s="116"/>
      <c r="S55" s="116"/>
      <c r="T55" s="111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</row>
    <row r="56" spans="1:49" s="112" customFormat="1" ht="14" x14ac:dyDescent="0.15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6"/>
      <c r="P56" s="116"/>
      <c r="Q56" s="116"/>
      <c r="R56" s="116"/>
      <c r="S56" s="116"/>
      <c r="T56" s="111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</row>
    <row r="57" spans="1:49" s="112" customFormat="1" ht="14" x14ac:dyDescent="0.15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6"/>
      <c r="P57" s="116"/>
      <c r="Q57" s="116"/>
      <c r="R57" s="116"/>
      <c r="S57" s="116"/>
      <c r="T57" s="111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</row>
    <row r="58" spans="1:49" s="112" customFormat="1" ht="14" x14ac:dyDescent="0.15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6"/>
      <c r="P58" s="116"/>
      <c r="Q58" s="116"/>
      <c r="R58" s="116"/>
      <c r="S58" s="116"/>
      <c r="T58" s="111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</row>
    <row r="59" spans="1:49" s="112" customFormat="1" ht="14" x14ac:dyDescent="0.15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6"/>
      <c r="P59" s="116"/>
      <c r="Q59" s="116"/>
      <c r="R59" s="116"/>
      <c r="S59" s="116"/>
      <c r="T59" s="111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</row>
    <row r="60" spans="1:49" s="112" customFormat="1" ht="14" x14ac:dyDescent="0.15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6"/>
      <c r="P60" s="116"/>
      <c r="Q60" s="116"/>
      <c r="R60" s="116"/>
      <c r="S60" s="116"/>
      <c r="T60" s="111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</row>
    <row r="61" spans="1:49" s="112" customFormat="1" ht="14" x14ac:dyDescent="0.15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6"/>
      <c r="P61" s="116"/>
      <c r="Q61" s="116"/>
      <c r="R61" s="116"/>
      <c r="S61" s="116"/>
      <c r="T61" s="111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</row>
    <row r="62" spans="1:49" s="112" customFormat="1" ht="14" x14ac:dyDescent="0.15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6"/>
      <c r="P62" s="116"/>
      <c r="Q62" s="116"/>
      <c r="R62" s="116"/>
      <c r="S62" s="116"/>
      <c r="T62" s="111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</row>
    <row r="63" spans="1:49" s="112" customFormat="1" ht="14" x14ac:dyDescent="0.15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6"/>
      <c r="P63" s="116"/>
      <c r="Q63" s="116"/>
      <c r="R63" s="116"/>
      <c r="S63" s="116"/>
      <c r="T63" s="111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</row>
    <row r="64" spans="1:49" s="112" customFormat="1" ht="14" x14ac:dyDescent="0.15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6"/>
      <c r="P64" s="116"/>
      <c r="Q64" s="116"/>
      <c r="R64" s="116"/>
      <c r="S64" s="116"/>
      <c r="T64" s="111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</row>
    <row r="65" spans="1:49" s="112" customFormat="1" ht="14" x14ac:dyDescent="0.15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6"/>
      <c r="P65" s="116"/>
      <c r="Q65" s="116"/>
      <c r="R65" s="116"/>
      <c r="S65" s="116"/>
      <c r="T65" s="111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</row>
    <row r="66" spans="1:49" s="112" customFormat="1" ht="14" x14ac:dyDescent="0.15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6"/>
      <c r="P66" s="116"/>
      <c r="Q66" s="116"/>
      <c r="R66" s="116"/>
      <c r="S66" s="116"/>
      <c r="T66" s="111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</row>
    <row r="67" spans="1:49" s="112" customFormat="1" ht="14" x14ac:dyDescent="0.15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6"/>
      <c r="P67" s="116"/>
      <c r="Q67" s="116"/>
      <c r="R67" s="116"/>
      <c r="S67" s="116"/>
      <c r="T67" s="111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</row>
    <row r="68" spans="1:49" s="112" customFormat="1" ht="14" x14ac:dyDescent="0.1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6"/>
      <c r="P68" s="116"/>
      <c r="Q68" s="116"/>
      <c r="R68" s="116"/>
      <c r="S68" s="116"/>
      <c r="T68" s="111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</row>
    <row r="69" spans="1:49" s="112" customFormat="1" ht="14" x14ac:dyDescent="0.15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6"/>
      <c r="P69" s="116"/>
      <c r="Q69" s="116"/>
      <c r="R69" s="116"/>
      <c r="S69" s="116"/>
      <c r="T69" s="111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</row>
    <row r="70" spans="1:49" s="112" customFormat="1" ht="14" x14ac:dyDescent="0.1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6"/>
      <c r="P70" s="116"/>
      <c r="Q70" s="116"/>
      <c r="R70" s="116"/>
      <c r="S70" s="116"/>
      <c r="T70" s="111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</row>
    <row r="71" spans="1:49" s="112" customFormat="1" ht="14" x14ac:dyDescent="0.15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6"/>
      <c r="P71" s="116"/>
      <c r="Q71" s="116"/>
      <c r="R71" s="116"/>
      <c r="S71" s="116"/>
      <c r="T71" s="111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</row>
    <row r="72" spans="1:49" s="112" customFormat="1" ht="14" x14ac:dyDescent="0.15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6"/>
      <c r="P72" s="116"/>
      <c r="Q72" s="116"/>
      <c r="R72" s="116"/>
      <c r="S72" s="116"/>
      <c r="T72" s="111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</row>
    <row r="73" spans="1:49" s="112" customFormat="1" ht="14" x14ac:dyDescent="0.15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6"/>
      <c r="P73" s="116"/>
      <c r="Q73" s="116"/>
      <c r="R73" s="116"/>
      <c r="S73" s="116"/>
      <c r="T73" s="111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</row>
    <row r="74" spans="1:49" s="112" customFormat="1" ht="14" x14ac:dyDescent="0.15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6"/>
      <c r="P74" s="116"/>
      <c r="Q74" s="116"/>
      <c r="R74" s="116"/>
      <c r="S74" s="116"/>
      <c r="T74" s="111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</row>
    <row r="75" spans="1:49" s="112" customFormat="1" x14ac:dyDescent="0.15"/>
    <row r="76" spans="1:49" s="112" customFormat="1" x14ac:dyDescent="0.15"/>
    <row r="77" spans="1:49" s="112" customFormat="1" x14ac:dyDescent="0.15"/>
    <row r="78" spans="1:49" s="112" customFormat="1" x14ac:dyDescent="0.15"/>
    <row r="79" spans="1:49" s="112" customFormat="1" x14ac:dyDescent="0.15"/>
    <row r="80" spans="1:49" s="112" customFormat="1" x14ac:dyDescent="0.15"/>
    <row r="81" s="112" customFormat="1" x14ac:dyDescent="0.15"/>
    <row r="82" s="112" customFormat="1" x14ac:dyDescent="0.15"/>
    <row r="83" s="112" customFormat="1" x14ac:dyDescent="0.15"/>
    <row r="84" s="112" customFormat="1" x14ac:dyDescent="0.15"/>
    <row r="85" s="112" customFormat="1" x14ac:dyDescent="0.15"/>
    <row r="86" s="112" customFormat="1" x14ac:dyDescent="0.15"/>
    <row r="87" s="112" customFormat="1" x14ac:dyDescent="0.15"/>
    <row r="88" s="112" customFormat="1" x14ac:dyDescent="0.15"/>
    <row r="89" s="112" customFormat="1" x14ac:dyDescent="0.15"/>
    <row r="90" s="112" customFormat="1" x14ac:dyDescent="0.15"/>
    <row r="91" s="112" customFormat="1" x14ac:dyDescent="0.15"/>
    <row r="92" s="112" customFormat="1" x14ac:dyDescent="0.15"/>
    <row r="93" s="112" customFormat="1" x14ac:dyDescent="0.15"/>
    <row r="94" s="112" customFormat="1" x14ac:dyDescent="0.15"/>
    <row r="95" s="112" customFormat="1" x14ac:dyDescent="0.15"/>
    <row r="96" s="112" customFormat="1" x14ac:dyDescent="0.15"/>
    <row r="97" s="112" customFormat="1" x14ac:dyDescent="0.15"/>
    <row r="98" s="112" customFormat="1" x14ac:dyDescent="0.15"/>
    <row r="99" s="112" customFormat="1" x14ac:dyDescent="0.15"/>
    <row r="100" s="112" customFormat="1" x14ac:dyDescent="0.15"/>
    <row r="101" s="112" customFormat="1" x14ac:dyDescent="0.15"/>
    <row r="102" s="112" customFormat="1" x14ac:dyDescent="0.15"/>
    <row r="103" s="112" customFormat="1" x14ac:dyDescent="0.15"/>
    <row r="104" s="112" customFormat="1" x14ac:dyDescent="0.15"/>
    <row r="105" s="112" customFormat="1" x14ac:dyDescent="0.15"/>
    <row r="106" s="112" customFormat="1" x14ac:dyDescent="0.15"/>
    <row r="107" s="112" customFormat="1" x14ac:dyDescent="0.15"/>
    <row r="108" s="112" customFormat="1" x14ac:dyDescent="0.15"/>
    <row r="109" s="112" customFormat="1" x14ac:dyDescent="0.15"/>
    <row r="110" s="112" customFormat="1" x14ac:dyDescent="0.15"/>
    <row r="111" s="112" customFormat="1" x14ac:dyDescent="0.15"/>
    <row r="112" s="112" customFormat="1" x14ac:dyDescent="0.15"/>
    <row r="113" s="112" customFormat="1" x14ac:dyDescent="0.15"/>
    <row r="114" s="112" customFormat="1" x14ac:dyDescent="0.15"/>
    <row r="115" s="112" customFormat="1" x14ac:dyDescent="0.15"/>
    <row r="116" s="112" customFormat="1" x14ac:dyDescent="0.15"/>
    <row r="117" s="112" customFormat="1" x14ac:dyDescent="0.15"/>
    <row r="118" s="112" customFormat="1" x14ac:dyDescent="0.15"/>
    <row r="119" s="112" customFormat="1" x14ac:dyDescent="0.15"/>
    <row r="120" s="112" customFormat="1" x14ac:dyDescent="0.15"/>
    <row r="121" s="112" customFormat="1" x14ac:dyDescent="0.15"/>
    <row r="122" s="112" customFormat="1" x14ac:dyDescent="0.15"/>
    <row r="123" s="112" customFormat="1" x14ac:dyDescent="0.15"/>
    <row r="124" s="112" customFormat="1" x14ac:dyDescent="0.15"/>
    <row r="125" s="112" customFormat="1" x14ac:dyDescent="0.15"/>
    <row r="126" s="112" customFormat="1" x14ac:dyDescent="0.15"/>
    <row r="127" s="112" customFormat="1" x14ac:dyDescent="0.15"/>
    <row r="128" s="112" customFormat="1" x14ac:dyDescent="0.15"/>
    <row r="129" s="112" customFormat="1" x14ac:dyDescent="0.15"/>
    <row r="130" s="112" customFormat="1" x14ac:dyDescent="0.15"/>
    <row r="131" s="112" customFormat="1" x14ac:dyDescent="0.15"/>
    <row r="132" s="112" customFormat="1" x14ac:dyDescent="0.15"/>
    <row r="133" s="112" customFormat="1" x14ac:dyDescent="0.15"/>
    <row r="134" s="112" customFormat="1" x14ac:dyDescent="0.15"/>
    <row r="135" s="112" customFormat="1" x14ac:dyDescent="0.15"/>
    <row r="136" s="112" customFormat="1" x14ac:dyDescent="0.15"/>
    <row r="137" s="112" customFormat="1" x14ac:dyDescent="0.15"/>
    <row r="138" s="112" customFormat="1" x14ac:dyDescent="0.15"/>
    <row r="139" s="112" customFormat="1" x14ac:dyDescent="0.15"/>
    <row r="140" s="112" customFormat="1" x14ac:dyDescent="0.15"/>
    <row r="141" s="112" customFormat="1" x14ac:dyDescent="0.15"/>
    <row r="142" s="112" customFormat="1" x14ac:dyDescent="0.15"/>
    <row r="143" s="112" customFormat="1" x14ac:dyDescent="0.15"/>
    <row r="144" s="112" customFormat="1" x14ac:dyDescent="0.15"/>
    <row r="145" s="112" customFormat="1" x14ac:dyDescent="0.15"/>
    <row r="146" s="112" customFormat="1" x14ac:dyDescent="0.15"/>
    <row r="147" s="112" customFormat="1" x14ac:dyDescent="0.15"/>
    <row r="148" s="112" customFormat="1" x14ac:dyDescent="0.15"/>
    <row r="149" s="112" customFormat="1" x14ac:dyDescent="0.15"/>
    <row r="150" s="112" customFormat="1" x14ac:dyDescent="0.15"/>
    <row r="151" s="112" customFormat="1" x14ac:dyDescent="0.15"/>
    <row r="152" s="112" customFormat="1" x14ac:dyDescent="0.15"/>
    <row r="153" s="112" customFormat="1" x14ac:dyDescent="0.15"/>
    <row r="154" s="112" customFormat="1" x14ac:dyDescent="0.15"/>
    <row r="155" s="112" customFormat="1" x14ac:dyDescent="0.15"/>
    <row r="156" s="112" customFormat="1" x14ac:dyDescent="0.15"/>
    <row r="157" s="112" customFormat="1" x14ac:dyDescent="0.15"/>
    <row r="158" s="112" customFormat="1" x14ac:dyDescent="0.15"/>
    <row r="159" s="112" customFormat="1" x14ac:dyDescent="0.15"/>
    <row r="160" s="112" customFormat="1" x14ac:dyDescent="0.15"/>
    <row r="161" s="112" customFormat="1" x14ac:dyDescent="0.15"/>
    <row r="162" s="112" customFormat="1" x14ac:dyDescent="0.15"/>
    <row r="163" s="112" customFormat="1" x14ac:dyDescent="0.15"/>
    <row r="164" s="112" customFormat="1" x14ac:dyDescent="0.15"/>
    <row r="165" s="112" customFormat="1" x14ac:dyDescent="0.15"/>
    <row r="166" s="112" customFormat="1" x14ac:dyDescent="0.15"/>
    <row r="167" s="112" customFormat="1" x14ac:dyDescent="0.15"/>
    <row r="168" s="112" customFormat="1" x14ac:dyDescent="0.15"/>
    <row r="169" s="112" customFormat="1" x14ac:dyDescent="0.15"/>
    <row r="170" s="112" customFormat="1" x14ac:dyDescent="0.15"/>
    <row r="171" s="112" customFormat="1" x14ac:dyDescent="0.15"/>
    <row r="172" s="112" customFormat="1" x14ac:dyDescent="0.15"/>
    <row r="173" s="112" customFormat="1" x14ac:dyDescent="0.15"/>
    <row r="174" s="112" customFormat="1" x14ac:dyDescent="0.15"/>
    <row r="175" s="112" customFormat="1" x14ac:dyDescent="0.15"/>
    <row r="176" s="112" customFormat="1" x14ac:dyDescent="0.15"/>
    <row r="177" s="112" customFormat="1" x14ac:dyDescent="0.15"/>
    <row r="178" s="112" customFormat="1" x14ac:dyDescent="0.15"/>
    <row r="179" s="112" customFormat="1" x14ac:dyDescent="0.15"/>
    <row r="180" s="112" customFormat="1" x14ac:dyDescent="0.15"/>
    <row r="181" s="112" customFormat="1" x14ac:dyDescent="0.15"/>
    <row r="182" s="112" customFormat="1" x14ac:dyDescent="0.15"/>
    <row r="183" s="112" customFormat="1" x14ac:dyDescent="0.15"/>
    <row r="184" s="112" customFormat="1" x14ac:dyDescent="0.15"/>
    <row r="185" s="112" customFormat="1" x14ac:dyDescent="0.15"/>
    <row r="186" s="112" customFormat="1" x14ac:dyDescent="0.15"/>
    <row r="187" s="112" customFormat="1" x14ac:dyDescent="0.15"/>
    <row r="188" s="112" customFormat="1" x14ac:dyDescent="0.15"/>
    <row r="189" s="112" customFormat="1" x14ac:dyDescent="0.15"/>
    <row r="190" s="112" customFormat="1" x14ac:dyDescent="0.15"/>
    <row r="191" s="112" customFormat="1" x14ac:dyDescent="0.15"/>
    <row r="192" s="112" customFormat="1" x14ac:dyDescent="0.15"/>
    <row r="193" s="112" customFormat="1" x14ac:dyDescent="0.15"/>
    <row r="194" s="112" customFormat="1" x14ac:dyDescent="0.15"/>
    <row r="195" s="112" customFormat="1" x14ac:dyDescent="0.15"/>
    <row r="196" s="112" customFormat="1" x14ac:dyDescent="0.15"/>
    <row r="197" s="112" customFormat="1" x14ac:dyDescent="0.15"/>
    <row r="198" s="112" customFormat="1" x14ac:dyDescent="0.15"/>
    <row r="199" s="112" customFormat="1" x14ac:dyDescent="0.15"/>
    <row r="200" s="112" customFormat="1" x14ac:dyDescent="0.15"/>
    <row r="201" s="112" customFormat="1" x14ac:dyDescent="0.15"/>
    <row r="202" s="112" customFormat="1" x14ac:dyDescent="0.15"/>
    <row r="203" s="112" customFormat="1" x14ac:dyDescent="0.15"/>
    <row r="204" s="112" customFormat="1" x14ac:dyDescent="0.15"/>
    <row r="205" s="112" customFormat="1" x14ac:dyDescent="0.15"/>
    <row r="206" s="112" customFormat="1" x14ac:dyDescent="0.15"/>
    <row r="207" s="112" customFormat="1" x14ac:dyDescent="0.15"/>
    <row r="208" s="112" customFormat="1" x14ac:dyDescent="0.15"/>
    <row r="209" s="112" customFormat="1" x14ac:dyDescent="0.15"/>
    <row r="210" s="112" customFormat="1" x14ac:dyDescent="0.15"/>
    <row r="211" s="112" customFormat="1" x14ac:dyDescent="0.15"/>
    <row r="212" s="112" customFormat="1" x14ac:dyDescent="0.15"/>
    <row r="213" s="112" customFormat="1" x14ac:dyDescent="0.15"/>
    <row r="214" s="112" customFormat="1" x14ac:dyDescent="0.15"/>
    <row r="215" s="112" customFormat="1" x14ac:dyDescent="0.15"/>
    <row r="216" s="112" customFormat="1" x14ac:dyDescent="0.15"/>
    <row r="217" s="112" customFormat="1" x14ac:dyDescent="0.15"/>
    <row r="218" s="112" customFormat="1" x14ac:dyDescent="0.15"/>
    <row r="219" s="112" customFormat="1" x14ac:dyDescent="0.15"/>
    <row r="220" s="112" customFormat="1" x14ac:dyDescent="0.15"/>
    <row r="221" s="112" customFormat="1" x14ac:dyDescent="0.15"/>
    <row r="222" s="112" customFormat="1" x14ac:dyDescent="0.15"/>
    <row r="223" s="112" customFormat="1" x14ac:dyDescent="0.15"/>
    <row r="224" s="112" customFormat="1" x14ac:dyDescent="0.15"/>
    <row r="225" s="112" customFormat="1" x14ac:dyDescent="0.15"/>
    <row r="226" s="112" customFormat="1" x14ac:dyDescent="0.15"/>
    <row r="227" s="112" customFormat="1" x14ac:dyDescent="0.15"/>
    <row r="228" s="112" customFormat="1" x14ac:dyDescent="0.15"/>
    <row r="229" s="112" customFormat="1" x14ac:dyDescent="0.15"/>
    <row r="230" s="112" customFormat="1" x14ac:dyDescent="0.15"/>
    <row r="231" s="112" customFormat="1" x14ac:dyDescent="0.15"/>
    <row r="232" s="112" customFormat="1" x14ac:dyDescent="0.15"/>
    <row r="233" s="112" customFormat="1" x14ac:dyDescent="0.15"/>
    <row r="234" s="112" customFormat="1" x14ac:dyDescent="0.15"/>
    <row r="235" s="112" customFormat="1" x14ac:dyDescent="0.15"/>
    <row r="236" s="112" customFormat="1" x14ac:dyDescent="0.15"/>
    <row r="237" s="112" customFormat="1" x14ac:dyDescent="0.15"/>
    <row r="238" s="112" customFormat="1" x14ac:dyDescent="0.15"/>
    <row r="239" s="112" customFormat="1" x14ac:dyDescent="0.15"/>
    <row r="240" s="112" customFormat="1" x14ac:dyDescent="0.15"/>
    <row r="241" s="112" customFormat="1" x14ac:dyDescent="0.15"/>
    <row r="242" s="112" customFormat="1" x14ac:dyDescent="0.15"/>
    <row r="243" s="112" customFormat="1" x14ac:dyDescent="0.15"/>
    <row r="244" s="112" customFormat="1" x14ac:dyDescent="0.15"/>
    <row r="245" s="112" customFormat="1" x14ac:dyDescent="0.15"/>
    <row r="246" s="112" customFormat="1" x14ac:dyDescent="0.15"/>
    <row r="247" s="112" customFormat="1" x14ac:dyDescent="0.15"/>
    <row r="248" s="112" customFormat="1" x14ac:dyDescent="0.15"/>
    <row r="249" s="112" customFormat="1" x14ac:dyDescent="0.15"/>
    <row r="250" s="112" customFormat="1" x14ac:dyDescent="0.15"/>
    <row r="251" s="112" customFormat="1" x14ac:dyDescent="0.15"/>
    <row r="252" s="112" customFormat="1" x14ac:dyDescent="0.15"/>
    <row r="253" s="112" customFormat="1" x14ac:dyDescent="0.15"/>
    <row r="254" s="112" customFormat="1" x14ac:dyDescent="0.15"/>
    <row r="255" s="112" customFormat="1" x14ac:dyDescent="0.15"/>
    <row r="256" s="112" customFormat="1" x14ac:dyDescent="0.15"/>
    <row r="257" s="112" customFormat="1" x14ac:dyDescent="0.15"/>
    <row r="258" s="112" customFormat="1" x14ac:dyDescent="0.15"/>
    <row r="259" s="112" customFormat="1" x14ac:dyDescent="0.15"/>
    <row r="260" s="112" customFormat="1" x14ac:dyDescent="0.15"/>
    <row r="261" s="112" customFormat="1" x14ac:dyDescent="0.15"/>
    <row r="262" s="112" customFormat="1" x14ac:dyDescent="0.15"/>
    <row r="263" s="112" customFormat="1" x14ac:dyDescent="0.15"/>
    <row r="264" s="112" customFormat="1" x14ac:dyDescent="0.15"/>
    <row r="265" s="112" customFormat="1" x14ac:dyDescent="0.15"/>
    <row r="266" s="112" customFormat="1" x14ac:dyDescent="0.15"/>
    <row r="267" s="112" customFormat="1" x14ac:dyDescent="0.15"/>
    <row r="268" s="112" customFormat="1" x14ac:dyDescent="0.15"/>
    <row r="269" s="112" customFormat="1" x14ac:dyDescent="0.15"/>
    <row r="270" s="112" customFormat="1" x14ac:dyDescent="0.15"/>
    <row r="271" s="112" customFormat="1" x14ac:dyDescent="0.15"/>
    <row r="272" s="112" customFormat="1" x14ac:dyDescent="0.15"/>
    <row r="273" s="112" customFormat="1" x14ac:dyDescent="0.15"/>
    <row r="274" s="112" customFormat="1" x14ac:dyDescent="0.15"/>
    <row r="275" s="112" customFormat="1" x14ac:dyDescent="0.15"/>
    <row r="276" s="112" customFormat="1" x14ac:dyDescent="0.15"/>
    <row r="277" s="112" customFormat="1" x14ac:dyDescent="0.15"/>
    <row r="278" s="112" customFormat="1" x14ac:dyDescent="0.15"/>
    <row r="279" s="112" customFormat="1" x14ac:dyDescent="0.15"/>
    <row r="280" s="112" customFormat="1" x14ac:dyDescent="0.15"/>
    <row r="281" s="112" customFormat="1" x14ac:dyDescent="0.15"/>
    <row r="282" s="112" customFormat="1" x14ac:dyDescent="0.15"/>
    <row r="283" s="112" customFormat="1" x14ac:dyDescent="0.15"/>
    <row r="284" s="112" customFormat="1" x14ac:dyDescent="0.15"/>
    <row r="285" s="112" customFormat="1" x14ac:dyDescent="0.15"/>
    <row r="286" s="112" customFormat="1" x14ac:dyDescent="0.15"/>
    <row r="287" s="112" customFormat="1" x14ac:dyDescent="0.15"/>
    <row r="288" s="112" customFormat="1" x14ac:dyDescent="0.15"/>
    <row r="289" s="112" customFormat="1" x14ac:dyDescent="0.15"/>
    <row r="290" s="112" customFormat="1" x14ac:dyDescent="0.15"/>
    <row r="291" s="112" customFormat="1" x14ac:dyDescent="0.15"/>
    <row r="292" s="112" customFormat="1" x14ac:dyDescent="0.15"/>
    <row r="293" s="112" customFormat="1" x14ac:dyDescent="0.15"/>
    <row r="294" s="112" customFormat="1" x14ac:dyDescent="0.15"/>
    <row r="295" s="112" customFormat="1" x14ac:dyDescent="0.15"/>
    <row r="296" s="112" customFormat="1" x14ac:dyDescent="0.15"/>
    <row r="297" s="112" customFormat="1" x14ac:dyDescent="0.15"/>
    <row r="298" s="112" customFormat="1" x14ac:dyDescent="0.15"/>
    <row r="299" s="112" customFormat="1" x14ac:dyDescent="0.15"/>
    <row r="300" s="112" customFormat="1" x14ac:dyDescent="0.15"/>
    <row r="301" s="112" customFormat="1" x14ac:dyDescent="0.15"/>
    <row r="302" s="112" customFormat="1" x14ac:dyDescent="0.15"/>
    <row r="303" s="112" customFormat="1" x14ac:dyDescent="0.15"/>
    <row r="304" s="112" customFormat="1" x14ac:dyDescent="0.15"/>
    <row r="305" s="112" customFormat="1" x14ac:dyDescent="0.15"/>
    <row r="306" s="112" customFormat="1" x14ac:dyDescent="0.15"/>
    <row r="307" s="112" customFormat="1" x14ac:dyDescent="0.15"/>
    <row r="308" s="112" customFormat="1" x14ac:dyDescent="0.15"/>
    <row r="309" s="112" customFormat="1" x14ac:dyDescent="0.15"/>
    <row r="310" s="112" customFormat="1" x14ac:dyDescent="0.15"/>
    <row r="311" s="112" customFormat="1" x14ac:dyDescent="0.15"/>
    <row r="312" s="112" customFormat="1" x14ac:dyDescent="0.15"/>
    <row r="313" s="112" customFormat="1" x14ac:dyDescent="0.15"/>
    <row r="314" s="112" customFormat="1" x14ac:dyDescent="0.15"/>
    <row r="315" s="112" customFormat="1" x14ac:dyDescent="0.15"/>
    <row r="316" s="112" customFormat="1" x14ac:dyDescent="0.15"/>
    <row r="317" s="112" customFormat="1" x14ac:dyDescent="0.15"/>
    <row r="318" s="112" customFormat="1" x14ac:dyDescent="0.15"/>
    <row r="319" s="112" customFormat="1" x14ac:dyDescent="0.15"/>
    <row r="320" s="112" customFormat="1" x14ac:dyDescent="0.15"/>
    <row r="321" s="112" customFormat="1" x14ac:dyDescent="0.15"/>
    <row r="322" s="112" customFormat="1" x14ac:dyDescent="0.15"/>
    <row r="323" s="112" customFormat="1" x14ac:dyDescent="0.15"/>
    <row r="324" s="112" customFormat="1" x14ac:dyDescent="0.15"/>
    <row r="325" s="112" customFormat="1" x14ac:dyDescent="0.15"/>
    <row r="326" s="112" customFormat="1" x14ac:dyDescent="0.15"/>
    <row r="327" s="112" customFormat="1" x14ac:dyDescent="0.15"/>
    <row r="328" s="112" customFormat="1" x14ac:dyDescent="0.15"/>
    <row r="329" s="112" customFormat="1" x14ac:dyDescent="0.15"/>
    <row r="330" s="112" customFormat="1" x14ac:dyDescent="0.15"/>
    <row r="331" s="112" customFormat="1" x14ac:dyDescent="0.15"/>
    <row r="332" s="112" customFormat="1" x14ac:dyDescent="0.15"/>
    <row r="333" s="112" customFormat="1" x14ac:dyDescent="0.15"/>
    <row r="334" s="112" customFormat="1" x14ac:dyDescent="0.15"/>
    <row r="335" s="112" customFormat="1" x14ac:dyDescent="0.15"/>
    <row r="336" s="112" customFormat="1" x14ac:dyDescent="0.15"/>
    <row r="337" s="112" customFormat="1" x14ac:dyDescent="0.15"/>
    <row r="338" s="112" customFormat="1" x14ac:dyDescent="0.15"/>
    <row r="339" s="112" customFormat="1" x14ac:dyDescent="0.15"/>
    <row r="340" s="112" customFormat="1" x14ac:dyDescent="0.15"/>
    <row r="341" s="112" customFormat="1" x14ac:dyDescent="0.15"/>
    <row r="342" s="112" customFormat="1" x14ac:dyDescent="0.15"/>
    <row r="343" s="112" customFormat="1" x14ac:dyDescent="0.15"/>
    <row r="344" s="112" customFormat="1" x14ac:dyDescent="0.15"/>
    <row r="345" s="112" customFormat="1" x14ac:dyDescent="0.15"/>
    <row r="346" s="112" customFormat="1" x14ac:dyDescent="0.15"/>
    <row r="347" s="112" customFormat="1" x14ac:dyDescent="0.15"/>
    <row r="348" s="112" customFormat="1" x14ac:dyDescent="0.15"/>
    <row r="349" s="112" customFormat="1" x14ac:dyDescent="0.15"/>
    <row r="350" s="112" customFormat="1" x14ac:dyDescent="0.15"/>
    <row r="351" s="112" customFormat="1" x14ac:dyDescent="0.15"/>
    <row r="352" s="112" customFormat="1" x14ac:dyDescent="0.15"/>
    <row r="353" s="112" customFormat="1" x14ac:dyDescent="0.15"/>
    <row r="354" s="112" customFormat="1" x14ac:dyDescent="0.15"/>
    <row r="355" s="112" customFormat="1" x14ac:dyDescent="0.15"/>
    <row r="356" s="112" customFormat="1" x14ac:dyDescent="0.15"/>
    <row r="357" s="112" customFormat="1" x14ac:dyDescent="0.15"/>
    <row r="358" s="112" customFormat="1" x14ac:dyDescent="0.15"/>
    <row r="359" s="112" customFormat="1" x14ac:dyDescent="0.15"/>
    <row r="360" s="112" customFormat="1" x14ac:dyDescent="0.15"/>
    <row r="361" s="112" customFormat="1" x14ac:dyDescent="0.15"/>
    <row r="362" s="112" customFormat="1" x14ac:dyDescent="0.15"/>
    <row r="363" s="112" customFormat="1" x14ac:dyDescent="0.15"/>
    <row r="364" s="112" customFormat="1" x14ac:dyDescent="0.15"/>
    <row r="365" s="112" customFormat="1" x14ac:dyDescent="0.15"/>
    <row r="366" s="112" customFormat="1" x14ac:dyDescent="0.15"/>
    <row r="367" s="112" customFormat="1" x14ac:dyDescent="0.15"/>
    <row r="368" s="112" customFormat="1" x14ac:dyDescent="0.15"/>
    <row r="369" s="112" customFormat="1" x14ac:dyDescent="0.15"/>
    <row r="370" s="112" customFormat="1" x14ac:dyDescent="0.15"/>
    <row r="371" s="112" customFormat="1" x14ac:dyDescent="0.15"/>
    <row r="372" s="112" customFormat="1" x14ac:dyDescent="0.15"/>
    <row r="373" s="112" customFormat="1" x14ac:dyDescent="0.15"/>
    <row r="374" s="112" customFormat="1" x14ac:dyDescent="0.15"/>
    <row r="375" s="112" customFormat="1" x14ac:dyDescent="0.15"/>
    <row r="376" s="112" customFormat="1" x14ac:dyDescent="0.15"/>
    <row r="377" s="112" customFormat="1" x14ac:dyDescent="0.15"/>
    <row r="378" s="112" customFormat="1" x14ac:dyDescent="0.15"/>
    <row r="379" s="112" customFormat="1" x14ac:dyDescent="0.15"/>
    <row r="380" s="112" customFormat="1" x14ac:dyDescent="0.15"/>
    <row r="381" s="112" customFormat="1" x14ac:dyDescent="0.15"/>
    <row r="382" s="112" customFormat="1" x14ac:dyDescent="0.15"/>
    <row r="383" s="112" customFormat="1" x14ac:dyDescent="0.15"/>
    <row r="384" s="112" customFormat="1" x14ac:dyDescent="0.15"/>
    <row r="385" s="112" customFormat="1" x14ac:dyDescent="0.15"/>
    <row r="386" s="112" customFormat="1" x14ac:dyDescent="0.15"/>
    <row r="387" s="112" customFormat="1" x14ac:dyDescent="0.15"/>
    <row r="388" s="112" customFormat="1" x14ac:dyDescent="0.15"/>
    <row r="389" s="112" customFormat="1" x14ac:dyDescent="0.15"/>
    <row r="390" s="112" customFormat="1" x14ac:dyDescent="0.15"/>
    <row r="391" s="112" customFormat="1" x14ac:dyDescent="0.15"/>
    <row r="392" s="112" customFormat="1" x14ac:dyDescent="0.15"/>
    <row r="393" s="112" customFormat="1" x14ac:dyDescent="0.15"/>
    <row r="394" s="112" customFormat="1" x14ac:dyDescent="0.15"/>
    <row r="395" s="112" customFormat="1" x14ac:dyDescent="0.15"/>
    <row r="396" s="112" customFormat="1" x14ac:dyDescent="0.15"/>
    <row r="397" s="112" customFormat="1" x14ac:dyDescent="0.15"/>
    <row r="398" s="112" customFormat="1" x14ac:dyDescent="0.15"/>
    <row r="399" s="112" customFormat="1" x14ac:dyDescent="0.15"/>
    <row r="400" s="112" customFormat="1" x14ac:dyDescent="0.15"/>
    <row r="401" s="112" customFormat="1" x14ac:dyDescent="0.15"/>
    <row r="402" s="112" customFormat="1" x14ac:dyDescent="0.15"/>
    <row r="403" s="112" customFormat="1" x14ac:dyDescent="0.15"/>
    <row r="404" s="112" customFormat="1" x14ac:dyDescent="0.15"/>
    <row r="405" s="112" customFormat="1" x14ac:dyDescent="0.15"/>
  </sheetData>
  <sheetProtection algorithmName="SHA-512" hashValue="SAsnUBRELfy2nszMtIfVLWsSq/LMXglKGZIhD5iaklvH7pr+IPoIkovu1IMhCuE4s8JEEPKzKdVIvokFrudQPA==" saltValue="zFJn9ACZzm4KfY6tUEvrvQ==" spinCount="100000" sheet="1" objects="1" scenarios="1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6"/>
  </sheetPr>
  <dimension ref="A1:WM310"/>
  <sheetViews>
    <sheetView zoomScaleNormal="100" zoomScalePageLayoutView="120" workbookViewId="0">
      <selection activeCell="I17" sqref="I17"/>
    </sheetView>
  </sheetViews>
  <sheetFormatPr baseColWidth="10" defaultRowHeight="13" x14ac:dyDescent="0.15"/>
  <cols>
    <col min="1" max="2" width="20.33203125" style="59" customWidth="1"/>
    <col min="3" max="14" width="12.1640625" style="59" customWidth="1"/>
    <col min="15" max="16" width="12.1640625" style="59" hidden="1" customWidth="1"/>
    <col min="17" max="20" width="12.1640625" style="59" customWidth="1"/>
    <col min="21" max="49" width="7.5" style="94" customWidth="1"/>
    <col min="50" max="611" width="10.83203125" style="94"/>
    <col min="612" max="16384" width="10.83203125" style="59"/>
  </cols>
  <sheetData>
    <row r="1" spans="1:611" s="94" customFormat="1" ht="14" x14ac:dyDescent="0.15">
      <c r="A1" s="93" t="s">
        <v>149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2" spans="1:611" s="94" customFormat="1" ht="14" x14ac:dyDescent="0.15">
      <c r="A2" s="95" t="s">
        <v>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</row>
    <row r="3" spans="1:611" s="94" customFormat="1" ht="15" thickBot="1" x14ac:dyDescent="0.2">
      <c r="A3" s="93"/>
      <c r="B3" s="93"/>
      <c r="C3" s="93"/>
      <c r="D3" s="93"/>
      <c r="E3" s="93"/>
      <c r="F3" s="93"/>
      <c r="G3" s="96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</row>
    <row r="4" spans="1:611" ht="14" x14ac:dyDescent="0.15">
      <c r="A4" s="62" t="s">
        <v>13</v>
      </c>
      <c r="B4" s="63"/>
      <c r="C4" s="63"/>
      <c r="D4" s="63"/>
      <c r="E4" s="63"/>
      <c r="F4" s="63"/>
      <c r="G4" s="64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5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</row>
    <row r="5" spans="1:611" ht="14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7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</row>
    <row r="6" spans="1:611" ht="14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7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</row>
    <row r="7" spans="1:611" ht="75" x14ac:dyDescent="0.15">
      <c r="A7" s="146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6" t="s">
        <v>84</v>
      </c>
      <c r="G7" s="141" t="s">
        <v>85</v>
      </c>
      <c r="H7" s="147" t="s">
        <v>86</v>
      </c>
      <c r="I7" s="141" t="s">
        <v>87</v>
      </c>
      <c r="J7" s="142" t="s">
        <v>61</v>
      </c>
      <c r="K7" s="143" t="s">
        <v>62</v>
      </c>
      <c r="L7" s="143" t="s">
        <v>63</v>
      </c>
      <c r="M7" s="143" t="s">
        <v>64</v>
      </c>
      <c r="N7" s="143" t="s">
        <v>65</v>
      </c>
      <c r="O7" s="144" t="s">
        <v>66</v>
      </c>
      <c r="P7" s="144" t="s">
        <v>67</v>
      </c>
      <c r="Q7" s="144" t="s">
        <v>25</v>
      </c>
      <c r="R7" s="144" t="s">
        <v>26</v>
      </c>
      <c r="S7" s="143" t="s">
        <v>68</v>
      </c>
      <c r="T7" s="145" t="s">
        <v>95</v>
      </c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</row>
    <row r="8" spans="1:611" ht="14" x14ac:dyDescent="0.15">
      <c r="A8" s="66" t="str">
        <f>'TAS Oct 2017'!K2</f>
        <v>Aurora Energy</v>
      </c>
      <c r="B8" s="161" t="str">
        <f>'TAS Oct 2017'!L2</f>
        <v>Regulated</v>
      </c>
      <c r="C8" s="69">
        <f>91*'TAS Oct 2017'!M2/100</f>
        <v>82.628909999999991</v>
      </c>
      <c r="D8" s="69">
        <f>IF($C$5&gt;='TAS Oct 2017'!P2,('TAS Oct 2017'!P2*'TAS Oct 2017'!N2/100),('TAS Bills October 2017'!$C$5*'TAS Oct 2017'!N2/100))</f>
        <v>150.83500000000001</v>
      </c>
      <c r="E8" s="69">
        <v>0</v>
      </c>
      <c r="F8" s="70">
        <v>0</v>
      </c>
      <c r="G8" s="71">
        <v>0</v>
      </c>
      <c r="H8" s="72">
        <f>IF(($C$5&lt;'TAS Oct 2017'!P2),(0),('TAS Bills October 2017'!$C$5-'TAS Oct 2017'!P2)*'TAS Oct 2017'!Q2/100)</f>
        <v>1004.265</v>
      </c>
      <c r="I8" s="73">
        <f>SUM(C8:H8)</f>
        <v>1237.72891</v>
      </c>
      <c r="J8" s="74">
        <f>I8*4</f>
        <v>4950.9156400000002</v>
      </c>
      <c r="K8" s="75">
        <v>0</v>
      </c>
      <c r="L8" s="75">
        <f>'TAS Oct 2017'!AY2</f>
        <v>0</v>
      </c>
      <c r="M8" s="75">
        <f>'TAS Oct 2017'!AZ2</f>
        <v>0</v>
      </c>
      <c r="N8" s="75">
        <f>'TAS Oct 2017'!BA2</f>
        <v>0</v>
      </c>
      <c r="O8" s="74">
        <f>J8</f>
        <v>4950.9156400000002</v>
      </c>
      <c r="P8" s="74">
        <f>O8-(O8*M8/100)</f>
        <v>4950.9156400000002</v>
      </c>
      <c r="Q8" s="74">
        <f>O8*1.1</f>
        <v>5446.0072040000005</v>
      </c>
      <c r="R8" s="74">
        <f>P8*1.1</f>
        <v>5446.0072040000005</v>
      </c>
      <c r="S8" s="76">
        <f>'TAS Oct 2017'!BH2</f>
        <v>0</v>
      </c>
      <c r="T8" s="77">
        <f>'TAS Oct 2017'!BI2</f>
        <v>0</v>
      </c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</row>
    <row r="9" spans="1:611" s="108" customFormat="1" ht="15" thickBot="1" x14ac:dyDescent="0.2">
      <c r="A9" s="98" t="str">
        <f>'TAS Oct 2017'!K3</f>
        <v>ERM Power</v>
      </c>
      <c r="B9" s="162" t="str">
        <f>'TAS Oct 2017'!L3</f>
        <v>Adjustable</v>
      </c>
      <c r="C9" s="99">
        <f>91*'TAS Oct 2017'!M3/100</f>
        <v>90.09</v>
      </c>
      <c r="D9" s="99">
        <f>C5*'TAS Oct 2017'!N3/100</f>
        <v>1343</v>
      </c>
      <c r="E9" s="99">
        <v>0</v>
      </c>
      <c r="F9" s="100">
        <v>0</v>
      </c>
      <c r="G9" s="101">
        <v>0</v>
      </c>
      <c r="H9" s="102">
        <v>0</v>
      </c>
      <c r="I9" s="103">
        <f t="shared" ref="I9" si="0">SUM(C9:H9)</f>
        <v>1433.09</v>
      </c>
      <c r="J9" s="104">
        <f t="shared" ref="J9" si="1">I9*4</f>
        <v>5732.36</v>
      </c>
      <c r="K9" s="105">
        <v>0</v>
      </c>
      <c r="L9" s="105">
        <f>'TAS Oct 2017'!AY3</f>
        <v>0</v>
      </c>
      <c r="M9" s="105">
        <f>'TAS Oct 2017'!AZ3</f>
        <v>0</v>
      </c>
      <c r="N9" s="105">
        <f>'TAS Oct 2017'!BA3</f>
        <v>0</v>
      </c>
      <c r="O9" s="104">
        <f>J9-((I9-C9)*L9/100)*4</f>
        <v>5732.36</v>
      </c>
      <c r="P9" s="104">
        <f>O9-(O9*M9/100)</f>
        <v>5732.36</v>
      </c>
      <c r="Q9" s="104">
        <f>O9*1.1</f>
        <v>6305.5960000000005</v>
      </c>
      <c r="R9" s="104">
        <f>P9*1.1</f>
        <v>6305.5960000000005</v>
      </c>
      <c r="S9" s="106">
        <f>'TAS Oct 2017'!BH3</f>
        <v>0</v>
      </c>
      <c r="T9" s="107">
        <f>'TAS Oct 2017'!BI3</f>
        <v>0</v>
      </c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  <c r="IX9" s="94"/>
      <c r="IY9" s="94"/>
      <c r="IZ9" s="94"/>
      <c r="JA9" s="94"/>
      <c r="JB9" s="94"/>
      <c r="JC9" s="94"/>
      <c r="JD9" s="94"/>
      <c r="JE9" s="94"/>
      <c r="JF9" s="94"/>
      <c r="JG9" s="94"/>
      <c r="JH9" s="94"/>
      <c r="JI9" s="94"/>
      <c r="JJ9" s="94"/>
      <c r="JK9" s="94"/>
      <c r="JL9" s="94"/>
      <c r="JM9" s="94"/>
      <c r="JN9" s="94"/>
      <c r="JO9" s="94"/>
      <c r="JP9" s="94"/>
      <c r="JQ9" s="94"/>
      <c r="JR9" s="94"/>
      <c r="JS9" s="94"/>
      <c r="JT9" s="94"/>
      <c r="JU9" s="94"/>
      <c r="JV9" s="94"/>
      <c r="JW9" s="94"/>
      <c r="JX9" s="94"/>
      <c r="JY9" s="94"/>
      <c r="JZ9" s="94"/>
      <c r="KA9" s="94"/>
      <c r="KB9" s="94"/>
      <c r="KC9" s="94"/>
      <c r="KD9" s="94"/>
      <c r="KE9" s="94"/>
      <c r="KF9" s="94"/>
      <c r="KG9" s="94"/>
      <c r="KH9" s="94"/>
      <c r="KI9" s="94"/>
      <c r="KJ9" s="94"/>
      <c r="KK9" s="94"/>
      <c r="KL9" s="94"/>
      <c r="KM9" s="94"/>
      <c r="KN9" s="94"/>
      <c r="KO9" s="94"/>
      <c r="KP9" s="94"/>
      <c r="KQ9" s="94"/>
      <c r="KR9" s="94"/>
      <c r="KS9" s="94"/>
      <c r="KT9" s="94"/>
      <c r="KU9" s="94"/>
      <c r="KV9" s="94"/>
      <c r="KW9" s="94"/>
      <c r="KX9" s="94"/>
      <c r="KY9" s="94"/>
      <c r="KZ9" s="94"/>
      <c r="LA9" s="94"/>
      <c r="LB9" s="94"/>
      <c r="LC9" s="94"/>
      <c r="LD9" s="94"/>
      <c r="LE9" s="94"/>
      <c r="LF9" s="94"/>
      <c r="LG9" s="94"/>
      <c r="LH9" s="94"/>
      <c r="LI9" s="94"/>
      <c r="LJ9" s="94"/>
      <c r="LK9" s="94"/>
      <c r="LL9" s="94"/>
      <c r="LM9" s="94"/>
      <c r="LN9" s="94"/>
      <c r="LO9" s="94"/>
      <c r="LP9" s="94"/>
      <c r="LQ9" s="94"/>
      <c r="LR9" s="94"/>
      <c r="LS9" s="94"/>
      <c r="LT9" s="94"/>
      <c r="LU9" s="94"/>
      <c r="LV9" s="94"/>
      <c r="LW9" s="94"/>
      <c r="LX9" s="94"/>
      <c r="LY9" s="94"/>
      <c r="LZ9" s="94"/>
      <c r="MA9" s="94"/>
      <c r="MB9" s="94"/>
      <c r="MC9" s="94"/>
      <c r="MD9" s="94"/>
      <c r="ME9" s="94"/>
      <c r="MF9" s="94"/>
      <c r="MG9" s="94"/>
      <c r="MH9" s="94"/>
      <c r="MI9" s="94"/>
      <c r="MJ9" s="94"/>
      <c r="MK9" s="94"/>
      <c r="ML9" s="94"/>
      <c r="MM9" s="94"/>
      <c r="MN9" s="94"/>
      <c r="MO9" s="94"/>
      <c r="MP9" s="94"/>
      <c r="MQ9" s="94"/>
      <c r="MR9" s="94"/>
      <c r="MS9" s="94"/>
      <c r="MT9" s="94"/>
      <c r="MU9" s="94"/>
      <c r="MV9" s="94"/>
      <c r="MW9" s="94"/>
      <c r="MX9" s="94"/>
      <c r="MY9" s="94"/>
      <c r="MZ9" s="94"/>
      <c r="NA9" s="94"/>
      <c r="NB9" s="94"/>
      <c r="NC9" s="94"/>
      <c r="ND9" s="94"/>
      <c r="NE9" s="94"/>
      <c r="NF9" s="94"/>
      <c r="NG9" s="94"/>
      <c r="NH9" s="94"/>
      <c r="NI9" s="94"/>
      <c r="NJ9" s="94"/>
      <c r="NK9" s="94"/>
      <c r="NL9" s="94"/>
      <c r="NM9" s="94"/>
      <c r="NN9" s="94"/>
      <c r="NO9" s="94"/>
      <c r="NP9" s="94"/>
      <c r="NQ9" s="94"/>
      <c r="NR9" s="94"/>
      <c r="NS9" s="94"/>
      <c r="NT9" s="94"/>
      <c r="NU9" s="94"/>
      <c r="NV9" s="94"/>
      <c r="NW9" s="94"/>
      <c r="NX9" s="94"/>
      <c r="NY9" s="94"/>
      <c r="NZ9" s="94"/>
      <c r="OA9" s="94"/>
      <c r="OB9" s="94"/>
      <c r="OC9" s="94"/>
      <c r="OD9" s="94"/>
      <c r="OE9" s="94"/>
      <c r="OF9" s="94"/>
      <c r="OG9" s="94"/>
      <c r="OH9" s="94"/>
      <c r="OI9" s="94"/>
      <c r="OJ9" s="94"/>
      <c r="OK9" s="94"/>
      <c r="OL9" s="94"/>
      <c r="OM9" s="94"/>
      <c r="ON9" s="94"/>
      <c r="OO9" s="94"/>
      <c r="OP9" s="94"/>
      <c r="OQ9" s="94"/>
      <c r="OR9" s="94"/>
      <c r="OS9" s="94"/>
      <c r="OT9" s="94"/>
      <c r="OU9" s="94"/>
      <c r="OV9" s="94"/>
      <c r="OW9" s="94"/>
      <c r="OX9" s="94"/>
      <c r="OY9" s="94"/>
      <c r="OZ9" s="94"/>
      <c r="PA9" s="94"/>
      <c r="PB9" s="94"/>
      <c r="PC9" s="94"/>
      <c r="PD9" s="94"/>
      <c r="PE9" s="94"/>
      <c r="PF9" s="94"/>
      <c r="PG9" s="94"/>
      <c r="PH9" s="94"/>
      <c r="PI9" s="94"/>
      <c r="PJ9" s="94"/>
      <c r="PK9" s="94"/>
      <c r="PL9" s="94"/>
      <c r="PM9" s="94"/>
      <c r="PN9" s="94"/>
      <c r="PO9" s="94"/>
      <c r="PP9" s="94"/>
      <c r="PQ9" s="94"/>
      <c r="PR9" s="94"/>
      <c r="PS9" s="94"/>
      <c r="PT9" s="94"/>
      <c r="PU9" s="94"/>
      <c r="PV9" s="94"/>
      <c r="PW9" s="94"/>
      <c r="PX9" s="94"/>
      <c r="PY9" s="94"/>
      <c r="PZ9" s="94"/>
      <c r="QA9" s="94"/>
      <c r="QB9" s="94"/>
      <c r="QC9" s="94"/>
      <c r="QD9" s="94"/>
      <c r="QE9" s="94"/>
      <c r="QF9" s="94"/>
      <c r="QG9" s="94"/>
      <c r="QH9" s="94"/>
      <c r="QI9" s="94"/>
      <c r="QJ9" s="94"/>
      <c r="QK9" s="94"/>
      <c r="QL9" s="94"/>
      <c r="QM9" s="94"/>
      <c r="QN9" s="94"/>
      <c r="QO9" s="94"/>
      <c r="QP9" s="94"/>
      <c r="QQ9" s="94"/>
      <c r="QR9" s="94"/>
      <c r="QS9" s="94"/>
      <c r="QT9" s="94"/>
      <c r="QU9" s="94"/>
      <c r="QV9" s="94"/>
      <c r="QW9" s="94"/>
      <c r="QX9" s="94"/>
      <c r="QY9" s="94"/>
      <c r="QZ9" s="94"/>
      <c r="RA9" s="94"/>
      <c r="RB9" s="94"/>
      <c r="RC9" s="94"/>
      <c r="RD9" s="94"/>
      <c r="RE9" s="94"/>
      <c r="RF9" s="94"/>
      <c r="RG9" s="94"/>
      <c r="RH9" s="94"/>
      <c r="RI9" s="94"/>
      <c r="RJ9" s="94"/>
      <c r="RK9" s="94"/>
      <c r="RL9" s="94"/>
      <c r="RM9" s="94"/>
      <c r="RN9" s="94"/>
      <c r="RO9" s="94"/>
      <c r="RP9" s="94"/>
      <c r="RQ9" s="94"/>
      <c r="RR9" s="94"/>
      <c r="RS9" s="94"/>
      <c r="RT9" s="94"/>
      <c r="RU9" s="94"/>
      <c r="RV9" s="94"/>
      <c r="RW9" s="94"/>
      <c r="RX9" s="94"/>
      <c r="RY9" s="94"/>
      <c r="RZ9" s="94"/>
      <c r="SA9" s="94"/>
      <c r="SB9" s="94"/>
      <c r="SC9" s="94"/>
      <c r="SD9" s="94"/>
      <c r="SE9" s="94"/>
      <c r="SF9" s="94"/>
      <c r="SG9" s="94"/>
      <c r="SH9" s="94"/>
      <c r="SI9" s="94"/>
      <c r="SJ9" s="94"/>
      <c r="SK9" s="94"/>
      <c r="SL9" s="94"/>
      <c r="SM9" s="94"/>
      <c r="SN9" s="94"/>
      <c r="SO9" s="94"/>
      <c r="SP9" s="94"/>
      <c r="SQ9" s="94"/>
      <c r="SR9" s="94"/>
      <c r="SS9" s="94"/>
      <c r="ST9" s="94"/>
      <c r="SU9" s="94"/>
      <c r="SV9" s="94"/>
      <c r="SW9" s="94"/>
      <c r="SX9" s="94"/>
      <c r="SY9" s="94"/>
      <c r="SZ9" s="94"/>
      <c r="TA9" s="94"/>
      <c r="TB9" s="94"/>
      <c r="TC9" s="94"/>
      <c r="TD9" s="94"/>
      <c r="TE9" s="94"/>
      <c r="TF9" s="94"/>
      <c r="TG9" s="94"/>
      <c r="TH9" s="94"/>
      <c r="TI9" s="94"/>
      <c r="TJ9" s="94"/>
      <c r="TK9" s="94"/>
      <c r="TL9" s="94"/>
      <c r="TM9" s="94"/>
      <c r="TN9" s="94"/>
      <c r="TO9" s="94"/>
      <c r="TP9" s="94"/>
      <c r="TQ9" s="94"/>
      <c r="TR9" s="94"/>
      <c r="TS9" s="94"/>
      <c r="TT9" s="94"/>
      <c r="TU9" s="94"/>
      <c r="TV9" s="94"/>
      <c r="TW9" s="94"/>
      <c r="TX9" s="94"/>
      <c r="TY9" s="94"/>
      <c r="TZ9" s="94"/>
      <c r="UA9" s="94"/>
      <c r="UB9" s="94"/>
      <c r="UC9" s="94"/>
      <c r="UD9" s="94"/>
      <c r="UE9" s="94"/>
      <c r="UF9" s="94"/>
      <c r="UG9" s="94"/>
      <c r="UH9" s="94"/>
      <c r="UI9" s="94"/>
      <c r="UJ9" s="94"/>
      <c r="UK9" s="94"/>
      <c r="UL9" s="94"/>
      <c r="UM9" s="94"/>
      <c r="UN9" s="94"/>
      <c r="UO9" s="94"/>
      <c r="UP9" s="94"/>
      <c r="UQ9" s="94"/>
      <c r="UR9" s="94"/>
      <c r="US9" s="94"/>
      <c r="UT9" s="94"/>
      <c r="UU9" s="94"/>
      <c r="UV9" s="94"/>
      <c r="UW9" s="94"/>
      <c r="UX9" s="94"/>
      <c r="UY9" s="94"/>
      <c r="UZ9" s="94"/>
      <c r="VA9" s="94"/>
      <c r="VB9" s="94"/>
      <c r="VC9" s="94"/>
      <c r="VD9" s="94"/>
      <c r="VE9" s="94"/>
      <c r="VF9" s="94"/>
      <c r="VG9" s="94"/>
      <c r="VH9" s="94"/>
      <c r="VI9" s="94"/>
      <c r="VJ9" s="94"/>
      <c r="VK9" s="94"/>
      <c r="VL9" s="94"/>
      <c r="VM9" s="94"/>
      <c r="VN9" s="94"/>
      <c r="VO9" s="94"/>
      <c r="VP9" s="94"/>
      <c r="VQ9" s="94"/>
      <c r="VR9" s="94"/>
      <c r="VS9" s="94"/>
      <c r="VT9" s="94"/>
      <c r="VU9" s="94"/>
      <c r="VV9" s="94"/>
      <c r="VW9" s="94"/>
      <c r="VX9" s="94"/>
      <c r="VY9" s="94"/>
      <c r="VZ9" s="94"/>
      <c r="WA9" s="94"/>
      <c r="WB9" s="94"/>
      <c r="WC9" s="94"/>
      <c r="WD9" s="94"/>
      <c r="WE9" s="94"/>
      <c r="WF9" s="94"/>
      <c r="WG9" s="94"/>
      <c r="WH9" s="94"/>
      <c r="WI9" s="94"/>
      <c r="WJ9" s="94"/>
      <c r="WK9" s="94"/>
      <c r="WL9" s="94"/>
      <c r="WM9" s="94"/>
    </row>
    <row r="10" spans="1:611" s="94" customFormat="1" ht="14" x14ac:dyDescent="0.15"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</row>
    <row r="11" spans="1:611" s="94" customFormat="1" ht="15" thickBot="1" x14ac:dyDescent="0.2"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</row>
    <row r="12" spans="1:611" ht="14" x14ac:dyDescent="0.15">
      <c r="A12" s="62" t="s">
        <v>96</v>
      </c>
      <c r="B12" s="63"/>
      <c r="C12" s="63"/>
      <c r="D12" s="79"/>
      <c r="E12" s="79"/>
      <c r="F12" s="79"/>
      <c r="G12" s="79"/>
      <c r="H12" s="79"/>
      <c r="I12" s="80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5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</row>
    <row r="13" spans="1:611" ht="14" x14ac:dyDescent="0.15">
      <c r="A13" s="66" t="s">
        <v>79</v>
      </c>
      <c r="B13" s="64"/>
      <c r="C13" s="85">
        <v>5000</v>
      </c>
      <c r="D13" s="81"/>
      <c r="E13" s="81"/>
      <c r="F13" s="81"/>
      <c r="G13" s="81"/>
      <c r="H13" s="81"/>
      <c r="I13" s="82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</row>
    <row r="14" spans="1:611" ht="14" x14ac:dyDescent="0.15">
      <c r="A14" s="66" t="s">
        <v>97</v>
      </c>
      <c r="B14" s="64"/>
      <c r="C14" s="86">
        <v>0.7</v>
      </c>
      <c r="D14" s="81"/>
      <c r="E14" s="81"/>
      <c r="F14" s="81"/>
      <c r="G14" s="81"/>
      <c r="H14" s="81"/>
      <c r="I14" s="82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</row>
    <row r="15" spans="1:611" ht="14" x14ac:dyDescent="0.15">
      <c r="A15" s="66" t="s">
        <v>148</v>
      </c>
      <c r="B15" s="64"/>
      <c r="C15" s="86">
        <v>0.3</v>
      </c>
      <c r="D15" s="81"/>
      <c r="E15" s="81"/>
      <c r="F15" s="81"/>
      <c r="G15" s="81"/>
      <c r="H15" s="81"/>
      <c r="I15" s="82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</row>
    <row r="16" spans="1:611" ht="14" x14ac:dyDescent="0.15">
      <c r="A16" s="66"/>
      <c r="B16" s="64"/>
      <c r="C16" s="81"/>
      <c r="D16" s="81"/>
      <c r="E16" s="81"/>
      <c r="F16" s="81"/>
      <c r="G16" s="81"/>
      <c r="H16" s="81"/>
      <c r="I16" s="82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</row>
    <row r="17" spans="1:611" ht="75" x14ac:dyDescent="0.15">
      <c r="A17" s="146" t="s">
        <v>73</v>
      </c>
      <c r="B17" s="147" t="s">
        <v>80</v>
      </c>
      <c r="C17" s="141" t="s">
        <v>81</v>
      </c>
      <c r="D17" s="141" t="s">
        <v>82</v>
      </c>
      <c r="E17" s="141" t="s">
        <v>83</v>
      </c>
      <c r="F17" s="146" t="s">
        <v>84</v>
      </c>
      <c r="G17" s="141" t="s">
        <v>86</v>
      </c>
      <c r="H17" s="141" t="s">
        <v>96</v>
      </c>
      <c r="I17" s="141" t="s">
        <v>87</v>
      </c>
      <c r="J17" s="142" t="s">
        <v>61</v>
      </c>
      <c r="K17" s="143" t="s">
        <v>62</v>
      </c>
      <c r="L17" s="143" t="s">
        <v>63</v>
      </c>
      <c r="M17" s="143" t="s">
        <v>64</v>
      </c>
      <c r="N17" s="143" t="s">
        <v>65</v>
      </c>
      <c r="O17" s="149" t="s">
        <v>66</v>
      </c>
      <c r="P17" s="144" t="s">
        <v>67</v>
      </c>
      <c r="Q17" s="144" t="s">
        <v>25</v>
      </c>
      <c r="R17" s="144" t="s">
        <v>26</v>
      </c>
      <c r="S17" s="148" t="s">
        <v>68</v>
      </c>
      <c r="T17" s="145" t="s">
        <v>95</v>
      </c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</row>
    <row r="18" spans="1:611" ht="14" x14ac:dyDescent="0.15">
      <c r="A18" s="66" t="str">
        <f>'TAS Oct 2017'!K4</f>
        <v>Aurora Energy</v>
      </c>
      <c r="B18" s="161" t="str">
        <f>'TAS Oct 2017'!L4</f>
        <v>Regulated</v>
      </c>
      <c r="C18" s="69">
        <f>91*'TAS Oct 2017'!M4/100</f>
        <v>97.442800000000005</v>
      </c>
      <c r="D18" s="69">
        <f>IF(($C$13*$C$14)&gt;='TAS Oct 2017'!P4,('TAS Oct 2017'!P4*'TAS Oct 2017'!N4/100),(('TAS Bills October 2017'!$C$13*'TAS Bills October 2017'!$C$14)*'TAS Oct 2017'!N4/100))</f>
        <v>150.83500000000001</v>
      </c>
      <c r="E18" s="69">
        <v>0</v>
      </c>
      <c r="F18" s="70">
        <v>0</v>
      </c>
      <c r="G18" s="71">
        <f>IF($C$13*$C$14&lt;'TAS Oct 2017'!P4,(0),((('TAS Bills October 2017'!$C$13*'TAS Bills October 2017'!$C$14)-('TAS Oct 2017'!P4))*'TAS Oct 2017'!Q4/100))</f>
        <v>669.51</v>
      </c>
      <c r="H18" s="69">
        <f>($C$13*$C$15)*'TAS Oct 2017'!AF4/100</f>
        <v>214.35</v>
      </c>
      <c r="I18" s="73">
        <f>SUM(C18:H18)</f>
        <v>1132.1378</v>
      </c>
      <c r="J18" s="74">
        <f>I18*4</f>
        <v>4528.5511999999999</v>
      </c>
      <c r="K18" s="75">
        <v>0</v>
      </c>
      <c r="L18" s="75">
        <f>'TAS Oct 2017'!AY4</f>
        <v>0</v>
      </c>
      <c r="M18" s="75">
        <f>'TAS Oct 2017'!AZ4</f>
        <v>0</v>
      </c>
      <c r="N18" s="75">
        <f>'TAS Oct 2017'!BA4</f>
        <v>0</v>
      </c>
      <c r="O18" s="74">
        <f>J18</f>
        <v>4528.5511999999999</v>
      </c>
      <c r="P18" s="74">
        <f>O18-(O18*M18/100)</f>
        <v>4528.5511999999999</v>
      </c>
      <c r="Q18" s="74">
        <f>O18*1.1</f>
        <v>4981.4063200000001</v>
      </c>
      <c r="R18" s="74">
        <f>P18*1.1</f>
        <v>4981.4063200000001</v>
      </c>
      <c r="S18" s="76">
        <f>'TAS Oct 2017'!BH4</f>
        <v>0</v>
      </c>
      <c r="T18" s="77">
        <f>'TAS Oct 2017'!BI4</f>
        <v>0</v>
      </c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</row>
    <row r="19" spans="1:611" s="108" customFormat="1" ht="15" thickBot="1" x14ac:dyDescent="0.2">
      <c r="A19" s="98" t="str">
        <f>'TAS Oct 2017'!K5</f>
        <v>ERM Power</v>
      </c>
      <c r="B19" s="162" t="str">
        <f>'TAS Oct 2017'!L5</f>
        <v>Adjustable</v>
      </c>
      <c r="C19" s="99">
        <f>91*'TAS Oct 2017'!M5/100</f>
        <v>145.6</v>
      </c>
      <c r="D19" s="99">
        <f>(C13*C14)*'TAS Oct 2017'!N5/100</f>
        <v>941.15</v>
      </c>
      <c r="E19" s="99">
        <v>0</v>
      </c>
      <c r="F19" s="100">
        <v>0</v>
      </c>
      <c r="G19" s="101">
        <v>0</v>
      </c>
      <c r="H19" s="99">
        <f>($C$13*$C$15)*'TAS Oct 2017'!AF5/100</f>
        <v>276.45</v>
      </c>
      <c r="I19" s="103">
        <f>SUM(C19:H19)</f>
        <v>1363.2</v>
      </c>
      <c r="J19" s="104">
        <f t="shared" ref="J19" si="2">I19*4</f>
        <v>5452.8</v>
      </c>
      <c r="K19" s="105">
        <v>0</v>
      </c>
      <c r="L19" s="105">
        <f>'TAS Oct 2017'!AY5</f>
        <v>0</v>
      </c>
      <c r="M19" s="105">
        <f>'TAS Oct 2017'!AZ5</f>
        <v>0</v>
      </c>
      <c r="N19" s="105">
        <f>'TAS Oct 2017'!BA5</f>
        <v>0</v>
      </c>
      <c r="O19" s="104">
        <f>J19-((I19-C19)*L19/100)*4</f>
        <v>5452.8</v>
      </c>
      <c r="P19" s="104">
        <f>O19-(O19*M19/100)</f>
        <v>5452.8</v>
      </c>
      <c r="Q19" s="104">
        <f>O19*1.1</f>
        <v>5998.0800000000008</v>
      </c>
      <c r="R19" s="104">
        <f>P19*1.1</f>
        <v>5998.0800000000008</v>
      </c>
      <c r="S19" s="106">
        <f>'TAS Oct 2017'!BH5</f>
        <v>0</v>
      </c>
      <c r="T19" s="107">
        <f>'TAS Oct 2017'!BI5</f>
        <v>0</v>
      </c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  <c r="IX19" s="94"/>
      <c r="IY19" s="94"/>
      <c r="IZ19" s="94"/>
      <c r="JA19" s="94"/>
      <c r="JB19" s="94"/>
      <c r="JC19" s="94"/>
      <c r="JD19" s="94"/>
      <c r="JE19" s="94"/>
      <c r="JF19" s="94"/>
      <c r="JG19" s="94"/>
      <c r="JH19" s="94"/>
      <c r="JI19" s="94"/>
      <c r="JJ19" s="94"/>
      <c r="JK19" s="94"/>
      <c r="JL19" s="94"/>
      <c r="JM19" s="94"/>
      <c r="JN19" s="94"/>
      <c r="JO19" s="94"/>
      <c r="JP19" s="94"/>
      <c r="JQ19" s="94"/>
      <c r="JR19" s="94"/>
      <c r="JS19" s="94"/>
      <c r="JT19" s="94"/>
      <c r="JU19" s="94"/>
      <c r="JV19" s="94"/>
      <c r="JW19" s="94"/>
      <c r="JX19" s="94"/>
      <c r="JY19" s="94"/>
      <c r="JZ19" s="94"/>
      <c r="KA19" s="94"/>
      <c r="KB19" s="94"/>
      <c r="KC19" s="94"/>
      <c r="KD19" s="94"/>
      <c r="KE19" s="94"/>
      <c r="KF19" s="94"/>
      <c r="KG19" s="94"/>
      <c r="KH19" s="94"/>
      <c r="KI19" s="94"/>
      <c r="KJ19" s="94"/>
      <c r="KK19" s="94"/>
      <c r="KL19" s="94"/>
      <c r="KM19" s="94"/>
      <c r="KN19" s="94"/>
      <c r="KO19" s="94"/>
      <c r="KP19" s="94"/>
      <c r="KQ19" s="94"/>
      <c r="KR19" s="94"/>
      <c r="KS19" s="94"/>
      <c r="KT19" s="94"/>
      <c r="KU19" s="94"/>
      <c r="KV19" s="94"/>
      <c r="KW19" s="94"/>
      <c r="KX19" s="94"/>
      <c r="KY19" s="94"/>
      <c r="KZ19" s="94"/>
      <c r="LA19" s="94"/>
      <c r="LB19" s="94"/>
      <c r="LC19" s="94"/>
      <c r="LD19" s="94"/>
      <c r="LE19" s="94"/>
      <c r="LF19" s="94"/>
      <c r="LG19" s="94"/>
      <c r="LH19" s="94"/>
      <c r="LI19" s="94"/>
      <c r="LJ19" s="94"/>
      <c r="LK19" s="94"/>
      <c r="LL19" s="94"/>
      <c r="LM19" s="94"/>
      <c r="LN19" s="94"/>
      <c r="LO19" s="94"/>
      <c r="LP19" s="94"/>
      <c r="LQ19" s="94"/>
      <c r="LR19" s="94"/>
      <c r="LS19" s="94"/>
      <c r="LT19" s="94"/>
      <c r="LU19" s="94"/>
      <c r="LV19" s="94"/>
      <c r="LW19" s="94"/>
      <c r="LX19" s="94"/>
      <c r="LY19" s="94"/>
      <c r="LZ19" s="94"/>
      <c r="MA19" s="94"/>
      <c r="MB19" s="94"/>
      <c r="MC19" s="94"/>
      <c r="MD19" s="94"/>
      <c r="ME19" s="94"/>
      <c r="MF19" s="94"/>
      <c r="MG19" s="94"/>
      <c r="MH19" s="94"/>
      <c r="MI19" s="94"/>
      <c r="MJ19" s="94"/>
      <c r="MK19" s="94"/>
      <c r="ML19" s="94"/>
      <c r="MM19" s="94"/>
      <c r="MN19" s="94"/>
      <c r="MO19" s="94"/>
      <c r="MP19" s="94"/>
      <c r="MQ19" s="94"/>
      <c r="MR19" s="94"/>
      <c r="MS19" s="94"/>
      <c r="MT19" s="94"/>
      <c r="MU19" s="94"/>
      <c r="MV19" s="94"/>
      <c r="MW19" s="94"/>
      <c r="MX19" s="94"/>
      <c r="MY19" s="94"/>
      <c r="MZ19" s="94"/>
      <c r="NA19" s="94"/>
      <c r="NB19" s="94"/>
      <c r="NC19" s="94"/>
      <c r="ND19" s="94"/>
      <c r="NE19" s="94"/>
      <c r="NF19" s="94"/>
      <c r="NG19" s="94"/>
      <c r="NH19" s="94"/>
      <c r="NI19" s="94"/>
      <c r="NJ19" s="94"/>
      <c r="NK19" s="94"/>
      <c r="NL19" s="94"/>
      <c r="NM19" s="94"/>
      <c r="NN19" s="94"/>
      <c r="NO19" s="94"/>
      <c r="NP19" s="94"/>
      <c r="NQ19" s="94"/>
      <c r="NR19" s="94"/>
      <c r="NS19" s="94"/>
      <c r="NT19" s="94"/>
      <c r="NU19" s="94"/>
      <c r="NV19" s="94"/>
      <c r="NW19" s="94"/>
      <c r="NX19" s="94"/>
      <c r="NY19" s="94"/>
      <c r="NZ19" s="94"/>
      <c r="OA19" s="94"/>
      <c r="OB19" s="94"/>
      <c r="OC19" s="94"/>
      <c r="OD19" s="94"/>
      <c r="OE19" s="94"/>
      <c r="OF19" s="94"/>
      <c r="OG19" s="94"/>
      <c r="OH19" s="94"/>
      <c r="OI19" s="94"/>
      <c r="OJ19" s="94"/>
      <c r="OK19" s="94"/>
      <c r="OL19" s="94"/>
      <c r="OM19" s="94"/>
      <c r="ON19" s="94"/>
      <c r="OO19" s="94"/>
      <c r="OP19" s="94"/>
      <c r="OQ19" s="94"/>
      <c r="OR19" s="94"/>
      <c r="OS19" s="94"/>
      <c r="OT19" s="94"/>
      <c r="OU19" s="94"/>
      <c r="OV19" s="94"/>
      <c r="OW19" s="94"/>
      <c r="OX19" s="94"/>
      <c r="OY19" s="94"/>
      <c r="OZ19" s="94"/>
      <c r="PA19" s="94"/>
      <c r="PB19" s="94"/>
      <c r="PC19" s="94"/>
      <c r="PD19" s="94"/>
      <c r="PE19" s="94"/>
      <c r="PF19" s="94"/>
      <c r="PG19" s="94"/>
      <c r="PH19" s="94"/>
      <c r="PI19" s="94"/>
      <c r="PJ19" s="94"/>
      <c r="PK19" s="94"/>
      <c r="PL19" s="94"/>
      <c r="PM19" s="94"/>
      <c r="PN19" s="94"/>
      <c r="PO19" s="94"/>
      <c r="PP19" s="94"/>
      <c r="PQ19" s="94"/>
      <c r="PR19" s="94"/>
      <c r="PS19" s="94"/>
      <c r="PT19" s="94"/>
      <c r="PU19" s="94"/>
      <c r="PV19" s="94"/>
      <c r="PW19" s="94"/>
      <c r="PX19" s="94"/>
      <c r="PY19" s="94"/>
      <c r="PZ19" s="94"/>
      <c r="QA19" s="94"/>
      <c r="QB19" s="94"/>
      <c r="QC19" s="94"/>
      <c r="QD19" s="94"/>
      <c r="QE19" s="94"/>
      <c r="QF19" s="94"/>
      <c r="QG19" s="94"/>
      <c r="QH19" s="94"/>
      <c r="QI19" s="94"/>
      <c r="QJ19" s="94"/>
      <c r="QK19" s="94"/>
      <c r="QL19" s="94"/>
      <c r="QM19" s="94"/>
      <c r="QN19" s="94"/>
      <c r="QO19" s="94"/>
      <c r="QP19" s="94"/>
      <c r="QQ19" s="94"/>
      <c r="QR19" s="94"/>
      <c r="QS19" s="94"/>
      <c r="QT19" s="94"/>
      <c r="QU19" s="94"/>
      <c r="QV19" s="94"/>
      <c r="QW19" s="94"/>
      <c r="QX19" s="94"/>
      <c r="QY19" s="94"/>
      <c r="QZ19" s="94"/>
      <c r="RA19" s="94"/>
      <c r="RB19" s="94"/>
      <c r="RC19" s="94"/>
      <c r="RD19" s="94"/>
      <c r="RE19" s="94"/>
      <c r="RF19" s="94"/>
      <c r="RG19" s="94"/>
      <c r="RH19" s="94"/>
      <c r="RI19" s="94"/>
      <c r="RJ19" s="94"/>
      <c r="RK19" s="94"/>
      <c r="RL19" s="94"/>
      <c r="RM19" s="94"/>
      <c r="RN19" s="94"/>
      <c r="RO19" s="94"/>
      <c r="RP19" s="94"/>
      <c r="RQ19" s="94"/>
      <c r="RR19" s="94"/>
      <c r="RS19" s="94"/>
      <c r="RT19" s="94"/>
      <c r="RU19" s="94"/>
      <c r="RV19" s="94"/>
      <c r="RW19" s="94"/>
      <c r="RX19" s="94"/>
      <c r="RY19" s="94"/>
      <c r="RZ19" s="94"/>
      <c r="SA19" s="94"/>
      <c r="SB19" s="94"/>
      <c r="SC19" s="94"/>
      <c r="SD19" s="94"/>
      <c r="SE19" s="94"/>
      <c r="SF19" s="94"/>
      <c r="SG19" s="94"/>
      <c r="SH19" s="94"/>
      <c r="SI19" s="94"/>
      <c r="SJ19" s="94"/>
      <c r="SK19" s="94"/>
      <c r="SL19" s="94"/>
      <c r="SM19" s="94"/>
      <c r="SN19" s="94"/>
      <c r="SO19" s="94"/>
      <c r="SP19" s="94"/>
      <c r="SQ19" s="94"/>
      <c r="SR19" s="94"/>
      <c r="SS19" s="94"/>
      <c r="ST19" s="94"/>
      <c r="SU19" s="94"/>
      <c r="SV19" s="94"/>
      <c r="SW19" s="94"/>
      <c r="SX19" s="94"/>
      <c r="SY19" s="94"/>
      <c r="SZ19" s="94"/>
      <c r="TA19" s="94"/>
      <c r="TB19" s="94"/>
      <c r="TC19" s="94"/>
      <c r="TD19" s="94"/>
      <c r="TE19" s="94"/>
      <c r="TF19" s="94"/>
      <c r="TG19" s="94"/>
      <c r="TH19" s="94"/>
      <c r="TI19" s="94"/>
      <c r="TJ19" s="94"/>
      <c r="TK19" s="94"/>
      <c r="TL19" s="94"/>
      <c r="TM19" s="94"/>
      <c r="TN19" s="94"/>
      <c r="TO19" s="94"/>
      <c r="TP19" s="94"/>
      <c r="TQ19" s="94"/>
      <c r="TR19" s="94"/>
      <c r="TS19" s="94"/>
      <c r="TT19" s="94"/>
      <c r="TU19" s="94"/>
      <c r="TV19" s="94"/>
      <c r="TW19" s="94"/>
      <c r="TX19" s="94"/>
      <c r="TY19" s="94"/>
      <c r="TZ19" s="94"/>
      <c r="UA19" s="94"/>
      <c r="UB19" s="94"/>
      <c r="UC19" s="94"/>
      <c r="UD19" s="94"/>
      <c r="UE19" s="94"/>
      <c r="UF19" s="94"/>
      <c r="UG19" s="94"/>
      <c r="UH19" s="94"/>
      <c r="UI19" s="94"/>
      <c r="UJ19" s="94"/>
      <c r="UK19" s="94"/>
      <c r="UL19" s="94"/>
      <c r="UM19" s="94"/>
      <c r="UN19" s="94"/>
      <c r="UO19" s="94"/>
      <c r="UP19" s="94"/>
      <c r="UQ19" s="94"/>
      <c r="UR19" s="94"/>
      <c r="US19" s="94"/>
      <c r="UT19" s="94"/>
      <c r="UU19" s="94"/>
      <c r="UV19" s="94"/>
      <c r="UW19" s="94"/>
      <c r="UX19" s="94"/>
      <c r="UY19" s="94"/>
      <c r="UZ19" s="94"/>
      <c r="VA19" s="94"/>
      <c r="VB19" s="94"/>
      <c r="VC19" s="94"/>
      <c r="VD19" s="94"/>
      <c r="VE19" s="94"/>
      <c r="VF19" s="94"/>
      <c r="VG19" s="94"/>
      <c r="VH19" s="94"/>
      <c r="VI19" s="94"/>
      <c r="VJ19" s="94"/>
      <c r="VK19" s="94"/>
      <c r="VL19" s="94"/>
      <c r="VM19" s="94"/>
      <c r="VN19" s="94"/>
      <c r="VO19" s="94"/>
      <c r="VP19" s="94"/>
      <c r="VQ19" s="94"/>
      <c r="VR19" s="94"/>
      <c r="VS19" s="94"/>
      <c r="VT19" s="94"/>
      <c r="VU19" s="94"/>
      <c r="VV19" s="94"/>
      <c r="VW19" s="94"/>
      <c r="VX19" s="94"/>
      <c r="VY19" s="94"/>
      <c r="VZ19" s="94"/>
      <c r="WA19" s="94"/>
      <c r="WB19" s="94"/>
      <c r="WC19" s="94"/>
      <c r="WD19" s="94"/>
      <c r="WE19" s="94"/>
      <c r="WF19" s="94"/>
      <c r="WG19" s="94"/>
      <c r="WH19" s="94"/>
      <c r="WI19" s="94"/>
      <c r="WJ19" s="94"/>
      <c r="WK19" s="94"/>
      <c r="WL19" s="94"/>
      <c r="WM19" s="94"/>
    </row>
    <row r="20" spans="1:611" s="94" customFormat="1" ht="14" x14ac:dyDescent="0.1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</row>
    <row r="21" spans="1:611" s="94" customFormat="1" ht="15" thickBot="1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6"/>
      <c r="P21" s="93"/>
      <c r="Q21" s="96"/>
      <c r="R21" s="96"/>
      <c r="S21" s="96"/>
      <c r="T21" s="93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</row>
    <row r="22" spans="1:611" ht="14" x14ac:dyDescent="0.15">
      <c r="A22" s="62" t="s">
        <v>69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</row>
    <row r="23" spans="1:611" ht="14" x14ac:dyDescent="0.15">
      <c r="A23" s="66" t="s">
        <v>22</v>
      </c>
      <c r="B23" s="64"/>
      <c r="C23" s="85">
        <v>5000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</row>
    <row r="24" spans="1:611" ht="14" x14ac:dyDescent="0.15">
      <c r="A24" s="66" t="s">
        <v>23</v>
      </c>
      <c r="B24" s="64"/>
      <c r="C24" s="86">
        <v>0.3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</row>
    <row r="25" spans="1:611" ht="14" x14ac:dyDescent="0.15">
      <c r="A25" s="66" t="s">
        <v>24</v>
      </c>
      <c r="B25" s="64"/>
      <c r="C25" s="86">
        <v>0.4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</row>
    <row r="26" spans="1:611" ht="14" x14ac:dyDescent="0.15">
      <c r="A26" s="66" t="s">
        <v>21</v>
      </c>
      <c r="B26" s="64"/>
      <c r="C26" s="86">
        <v>0.3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</row>
    <row r="27" spans="1:611" ht="14" x14ac:dyDescent="0.15">
      <c r="A27" s="66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</row>
    <row r="28" spans="1:611" ht="75" x14ac:dyDescent="0.15">
      <c r="A28" s="146" t="s">
        <v>35</v>
      </c>
      <c r="B28" s="147" t="s">
        <v>36</v>
      </c>
      <c r="C28" s="141" t="s">
        <v>27</v>
      </c>
      <c r="D28" s="141" t="s">
        <v>153</v>
      </c>
      <c r="E28" s="141" t="s">
        <v>83</v>
      </c>
      <c r="F28" s="141" t="s">
        <v>154</v>
      </c>
      <c r="G28" s="141" t="s">
        <v>155</v>
      </c>
      <c r="H28" s="141" t="s">
        <v>156</v>
      </c>
      <c r="I28" s="141" t="s">
        <v>87</v>
      </c>
      <c r="J28" s="142" t="s">
        <v>157</v>
      </c>
      <c r="K28" s="143" t="s">
        <v>94</v>
      </c>
      <c r="L28" s="143" t="s">
        <v>123</v>
      </c>
      <c r="M28" s="143" t="s">
        <v>124</v>
      </c>
      <c r="N28" s="143" t="s">
        <v>125</v>
      </c>
      <c r="O28" s="144" t="s">
        <v>158</v>
      </c>
      <c r="P28" s="144" t="s">
        <v>159</v>
      </c>
      <c r="Q28" s="144" t="s">
        <v>25</v>
      </c>
      <c r="R28" s="144" t="s">
        <v>26</v>
      </c>
      <c r="S28" s="143" t="s">
        <v>55</v>
      </c>
      <c r="T28" s="145" t="s">
        <v>160</v>
      </c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</row>
    <row r="29" spans="1:611" ht="14" x14ac:dyDescent="0.15">
      <c r="A29" s="66" t="str">
        <f>'TAS Oct 2017'!K6</f>
        <v>Aurora Energy</v>
      </c>
      <c r="B29" s="161" t="str">
        <f>'TAS Oct 2017'!L6</f>
        <v>Regulated</v>
      </c>
      <c r="C29" s="69">
        <f>91*'TAS Oct 2017'!M6/100</f>
        <v>89.503050000000002</v>
      </c>
      <c r="D29" s="83">
        <f>($C$23*$C$24)*'TAS Oct 2017'!N6/100</f>
        <v>372.375</v>
      </c>
      <c r="E29" s="69">
        <v>0</v>
      </c>
      <c r="F29" s="69">
        <v>0</v>
      </c>
      <c r="G29" s="69">
        <f>($C$23*$C$25)*'TAS Oct 2017'!AI6/100</f>
        <v>358.86</v>
      </c>
      <c r="H29" s="69">
        <f>($C$23*$C$26)*'TAS Oct 2017'!W6/100</f>
        <v>157.42499999999998</v>
      </c>
      <c r="I29" s="73">
        <f>SUM(C29:H29)</f>
        <v>978.16305</v>
      </c>
      <c r="J29" s="74">
        <f>I29*4</f>
        <v>3912.6522</v>
      </c>
      <c r="K29" s="75">
        <v>0</v>
      </c>
      <c r="L29" s="75">
        <f>'TAS Oct 2017'!AY6</f>
        <v>0</v>
      </c>
      <c r="M29" s="75">
        <f>'TAS Oct 2017'!AZ6</f>
        <v>0</v>
      </c>
      <c r="N29" s="75">
        <f>'TAS Oct 2017'!BA6</f>
        <v>0</v>
      </c>
      <c r="O29" s="74">
        <f>J29</f>
        <v>3912.6522</v>
      </c>
      <c r="P29" s="74">
        <f>O29-(O29*M29/100)</f>
        <v>3912.6522</v>
      </c>
      <c r="Q29" s="74">
        <f>O29*1.1</f>
        <v>4303.9174200000007</v>
      </c>
      <c r="R29" s="74">
        <f>P29*1.1</f>
        <v>4303.9174200000007</v>
      </c>
      <c r="S29" s="76">
        <f>'TAS Oct 2017'!BH6</f>
        <v>0</v>
      </c>
      <c r="T29" s="77">
        <f>'TAS Oct 2017'!BI6</f>
        <v>0</v>
      </c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</row>
    <row r="30" spans="1:611" s="108" customFormat="1" ht="15" thickBot="1" x14ac:dyDescent="0.2">
      <c r="A30" s="98" t="str">
        <f>'TAS Oct 2017'!K7</f>
        <v>ERM Power</v>
      </c>
      <c r="B30" s="162" t="str">
        <f>'TAS Oct 2017'!L7</f>
        <v>Adjustable</v>
      </c>
      <c r="C30" s="99">
        <f>91*'TAS Oct 2017'!M7/100</f>
        <v>104.65</v>
      </c>
      <c r="D30" s="109">
        <f>($C$23*$C$24)*'TAS Oct 2017'!N7/100</f>
        <v>450.9</v>
      </c>
      <c r="E30" s="99">
        <v>0</v>
      </c>
      <c r="F30" s="99">
        <v>0</v>
      </c>
      <c r="G30" s="99">
        <f>($C$23*$C$25)*'TAS Oct 2017'!AI7/100</f>
        <v>424.6</v>
      </c>
      <c r="H30" s="99">
        <f>($C$23*$C$26)*'TAS Oct 2017'!W7/100</f>
        <v>231.6</v>
      </c>
      <c r="I30" s="103">
        <f>SUM(C30:H30)</f>
        <v>1211.75</v>
      </c>
      <c r="J30" s="104">
        <f t="shared" ref="J30" si="3">I30*4</f>
        <v>4847</v>
      </c>
      <c r="K30" s="105">
        <v>0</v>
      </c>
      <c r="L30" s="105">
        <f>'TAS Oct 2017'!AY7</f>
        <v>0</v>
      </c>
      <c r="M30" s="105">
        <f>'TAS Oct 2017'!AZ7</f>
        <v>0</v>
      </c>
      <c r="N30" s="105">
        <f>'TAS Oct 2017'!BA7</f>
        <v>0</v>
      </c>
      <c r="O30" s="104">
        <f>J30-((I30-C30)*L30/100)*4</f>
        <v>4847</v>
      </c>
      <c r="P30" s="104">
        <f>O30-(O30*M30/100)</f>
        <v>4847</v>
      </c>
      <c r="Q30" s="104">
        <f>O30*1.1</f>
        <v>5331.7000000000007</v>
      </c>
      <c r="R30" s="104">
        <f>P30*1.1</f>
        <v>5331.7000000000007</v>
      </c>
      <c r="S30" s="106">
        <f>'TAS Oct 2017'!BH7</f>
        <v>0</v>
      </c>
      <c r="T30" s="107">
        <f>'TAS Oct 2017'!BI7</f>
        <v>0</v>
      </c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  <c r="IU30" s="94"/>
      <c r="IV30" s="94"/>
      <c r="IW30" s="94"/>
      <c r="IX30" s="94"/>
      <c r="IY30" s="94"/>
      <c r="IZ30" s="94"/>
      <c r="JA30" s="94"/>
      <c r="JB30" s="94"/>
      <c r="JC30" s="94"/>
      <c r="JD30" s="94"/>
      <c r="JE30" s="94"/>
      <c r="JF30" s="94"/>
      <c r="JG30" s="94"/>
      <c r="JH30" s="94"/>
      <c r="JI30" s="94"/>
      <c r="JJ30" s="94"/>
      <c r="JK30" s="94"/>
      <c r="JL30" s="94"/>
      <c r="JM30" s="94"/>
      <c r="JN30" s="94"/>
      <c r="JO30" s="94"/>
      <c r="JP30" s="94"/>
      <c r="JQ30" s="94"/>
      <c r="JR30" s="94"/>
      <c r="JS30" s="94"/>
      <c r="JT30" s="94"/>
      <c r="JU30" s="94"/>
      <c r="JV30" s="94"/>
      <c r="JW30" s="94"/>
      <c r="JX30" s="94"/>
      <c r="JY30" s="94"/>
      <c r="JZ30" s="94"/>
      <c r="KA30" s="94"/>
      <c r="KB30" s="94"/>
      <c r="KC30" s="94"/>
      <c r="KD30" s="94"/>
      <c r="KE30" s="94"/>
      <c r="KF30" s="94"/>
      <c r="KG30" s="94"/>
      <c r="KH30" s="94"/>
      <c r="KI30" s="94"/>
      <c r="KJ30" s="94"/>
      <c r="KK30" s="94"/>
      <c r="KL30" s="94"/>
      <c r="KM30" s="94"/>
      <c r="KN30" s="94"/>
      <c r="KO30" s="94"/>
      <c r="KP30" s="94"/>
      <c r="KQ30" s="94"/>
      <c r="KR30" s="94"/>
      <c r="KS30" s="94"/>
      <c r="KT30" s="94"/>
      <c r="KU30" s="94"/>
      <c r="KV30" s="94"/>
      <c r="KW30" s="94"/>
      <c r="KX30" s="94"/>
      <c r="KY30" s="94"/>
      <c r="KZ30" s="94"/>
      <c r="LA30" s="94"/>
      <c r="LB30" s="94"/>
      <c r="LC30" s="94"/>
      <c r="LD30" s="94"/>
      <c r="LE30" s="94"/>
      <c r="LF30" s="94"/>
      <c r="LG30" s="94"/>
      <c r="LH30" s="94"/>
      <c r="LI30" s="94"/>
      <c r="LJ30" s="94"/>
      <c r="LK30" s="94"/>
      <c r="LL30" s="94"/>
      <c r="LM30" s="94"/>
      <c r="LN30" s="94"/>
      <c r="LO30" s="94"/>
      <c r="LP30" s="94"/>
      <c r="LQ30" s="94"/>
      <c r="LR30" s="94"/>
      <c r="LS30" s="94"/>
      <c r="LT30" s="94"/>
      <c r="LU30" s="94"/>
      <c r="LV30" s="94"/>
      <c r="LW30" s="94"/>
      <c r="LX30" s="94"/>
      <c r="LY30" s="94"/>
      <c r="LZ30" s="94"/>
      <c r="MA30" s="94"/>
      <c r="MB30" s="94"/>
      <c r="MC30" s="94"/>
      <c r="MD30" s="94"/>
      <c r="ME30" s="94"/>
      <c r="MF30" s="94"/>
      <c r="MG30" s="94"/>
      <c r="MH30" s="94"/>
      <c r="MI30" s="94"/>
      <c r="MJ30" s="94"/>
      <c r="MK30" s="94"/>
      <c r="ML30" s="94"/>
      <c r="MM30" s="94"/>
      <c r="MN30" s="94"/>
      <c r="MO30" s="94"/>
      <c r="MP30" s="94"/>
      <c r="MQ30" s="94"/>
      <c r="MR30" s="94"/>
      <c r="MS30" s="94"/>
      <c r="MT30" s="94"/>
      <c r="MU30" s="94"/>
      <c r="MV30" s="94"/>
      <c r="MW30" s="94"/>
      <c r="MX30" s="94"/>
      <c r="MY30" s="94"/>
      <c r="MZ30" s="94"/>
      <c r="NA30" s="94"/>
      <c r="NB30" s="94"/>
      <c r="NC30" s="94"/>
      <c r="ND30" s="94"/>
      <c r="NE30" s="94"/>
      <c r="NF30" s="94"/>
      <c r="NG30" s="94"/>
      <c r="NH30" s="94"/>
      <c r="NI30" s="94"/>
      <c r="NJ30" s="94"/>
      <c r="NK30" s="94"/>
      <c r="NL30" s="94"/>
      <c r="NM30" s="94"/>
      <c r="NN30" s="94"/>
      <c r="NO30" s="94"/>
      <c r="NP30" s="94"/>
      <c r="NQ30" s="94"/>
      <c r="NR30" s="94"/>
      <c r="NS30" s="94"/>
      <c r="NT30" s="94"/>
      <c r="NU30" s="94"/>
      <c r="NV30" s="94"/>
      <c r="NW30" s="94"/>
      <c r="NX30" s="94"/>
      <c r="NY30" s="94"/>
      <c r="NZ30" s="94"/>
      <c r="OA30" s="94"/>
      <c r="OB30" s="94"/>
      <c r="OC30" s="94"/>
      <c r="OD30" s="94"/>
      <c r="OE30" s="94"/>
      <c r="OF30" s="94"/>
      <c r="OG30" s="94"/>
      <c r="OH30" s="94"/>
      <c r="OI30" s="94"/>
      <c r="OJ30" s="94"/>
      <c r="OK30" s="94"/>
      <c r="OL30" s="94"/>
      <c r="OM30" s="94"/>
      <c r="ON30" s="94"/>
      <c r="OO30" s="94"/>
      <c r="OP30" s="94"/>
      <c r="OQ30" s="94"/>
      <c r="OR30" s="94"/>
      <c r="OS30" s="94"/>
      <c r="OT30" s="94"/>
      <c r="OU30" s="94"/>
      <c r="OV30" s="94"/>
      <c r="OW30" s="94"/>
      <c r="OX30" s="94"/>
      <c r="OY30" s="94"/>
      <c r="OZ30" s="94"/>
      <c r="PA30" s="94"/>
      <c r="PB30" s="94"/>
      <c r="PC30" s="94"/>
      <c r="PD30" s="94"/>
      <c r="PE30" s="94"/>
      <c r="PF30" s="94"/>
      <c r="PG30" s="94"/>
      <c r="PH30" s="94"/>
      <c r="PI30" s="94"/>
      <c r="PJ30" s="94"/>
      <c r="PK30" s="94"/>
      <c r="PL30" s="94"/>
      <c r="PM30" s="94"/>
      <c r="PN30" s="94"/>
      <c r="PO30" s="94"/>
      <c r="PP30" s="94"/>
      <c r="PQ30" s="94"/>
      <c r="PR30" s="94"/>
      <c r="PS30" s="94"/>
      <c r="PT30" s="94"/>
      <c r="PU30" s="94"/>
      <c r="PV30" s="94"/>
      <c r="PW30" s="94"/>
      <c r="PX30" s="94"/>
      <c r="PY30" s="94"/>
      <c r="PZ30" s="94"/>
      <c r="QA30" s="94"/>
      <c r="QB30" s="94"/>
      <c r="QC30" s="94"/>
      <c r="QD30" s="94"/>
      <c r="QE30" s="94"/>
      <c r="QF30" s="94"/>
      <c r="QG30" s="94"/>
      <c r="QH30" s="94"/>
      <c r="QI30" s="94"/>
      <c r="QJ30" s="94"/>
      <c r="QK30" s="94"/>
      <c r="QL30" s="94"/>
      <c r="QM30" s="94"/>
      <c r="QN30" s="94"/>
      <c r="QO30" s="94"/>
      <c r="QP30" s="94"/>
      <c r="QQ30" s="94"/>
      <c r="QR30" s="94"/>
      <c r="QS30" s="94"/>
      <c r="QT30" s="94"/>
      <c r="QU30" s="94"/>
      <c r="QV30" s="94"/>
      <c r="QW30" s="94"/>
      <c r="QX30" s="94"/>
      <c r="QY30" s="94"/>
      <c r="QZ30" s="94"/>
      <c r="RA30" s="94"/>
      <c r="RB30" s="94"/>
      <c r="RC30" s="94"/>
      <c r="RD30" s="94"/>
      <c r="RE30" s="94"/>
      <c r="RF30" s="94"/>
      <c r="RG30" s="94"/>
      <c r="RH30" s="94"/>
      <c r="RI30" s="94"/>
      <c r="RJ30" s="94"/>
      <c r="RK30" s="94"/>
      <c r="RL30" s="94"/>
      <c r="RM30" s="94"/>
      <c r="RN30" s="94"/>
      <c r="RO30" s="94"/>
      <c r="RP30" s="94"/>
      <c r="RQ30" s="94"/>
      <c r="RR30" s="94"/>
      <c r="RS30" s="94"/>
      <c r="RT30" s="94"/>
      <c r="RU30" s="94"/>
      <c r="RV30" s="94"/>
      <c r="RW30" s="94"/>
      <c r="RX30" s="94"/>
      <c r="RY30" s="94"/>
      <c r="RZ30" s="94"/>
      <c r="SA30" s="94"/>
      <c r="SB30" s="94"/>
      <c r="SC30" s="94"/>
      <c r="SD30" s="94"/>
      <c r="SE30" s="94"/>
      <c r="SF30" s="94"/>
      <c r="SG30" s="94"/>
      <c r="SH30" s="94"/>
      <c r="SI30" s="94"/>
      <c r="SJ30" s="94"/>
      <c r="SK30" s="94"/>
      <c r="SL30" s="94"/>
      <c r="SM30" s="94"/>
      <c r="SN30" s="94"/>
      <c r="SO30" s="94"/>
      <c r="SP30" s="94"/>
      <c r="SQ30" s="94"/>
      <c r="SR30" s="94"/>
      <c r="SS30" s="94"/>
      <c r="ST30" s="94"/>
      <c r="SU30" s="94"/>
      <c r="SV30" s="94"/>
      <c r="SW30" s="94"/>
      <c r="SX30" s="94"/>
      <c r="SY30" s="94"/>
      <c r="SZ30" s="94"/>
      <c r="TA30" s="94"/>
      <c r="TB30" s="94"/>
      <c r="TC30" s="94"/>
      <c r="TD30" s="94"/>
      <c r="TE30" s="94"/>
      <c r="TF30" s="94"/>
      <c r="TG30" s="94"/>
      <c r="TH30" s="94"/>
      <c r="TI30" s="94"/>
      <c r="TJ30" s="94"/>
      <c r="TK30" s="94"/>
      <c r="TL30" s="94"/>
      <c r="TM30" s="94"/>
      <c r="TN30" s="94"/>
      <c r="TO30" s="94"/>
      <c r="TP30" s="94"/>
      <c r="TQ30" s="94"/>
      <c r="TR30" s="94"/>
      <c r="TS30" s="94"/>
      <c r="TT30" s="94"/>
      <c r="TU30" s="94"/>
      <c r="TV30" s="94"/>
      <c r="TW30" s="94"/>
      <c r="TX30" s="94"/>
      <c r="TY30" s="94"/>
      <c r="TZ30" s="94"/>
      <c r="UA30" s="94"/>
      <c r="UB30" s="94"/>
      <c r="UC30" s="94"/>
      <c r="UD30" s="94"/>
      <c r="UE30" s="94"/>
      <c r="UF30" s="94"/>
      <c r="UG30" s="94"/>
      <c r="UH30" s="94"/>
      <c r="UI30" s="94"/>
      <c r="UJ30" s="94"/>
      <c r="UK30" s="94"/>
      <c r="UL30" s="94"/>
      <c r="UM30" s="94"/>
      <c r="UN30" s="94"/>
      <c r="UO30" s="94"/>
      <c r="UP30" s="94"/>
      <c r="UQ30" s="94"/>
      <c r="UR30" s="94"/>
      <c r="US30" s="94"/>
      <c r="UT30" s="94"/>
      <c r="UU30" s="94"/>
      <c r="UV30" s="94"/>
      <c r="UW30" s="94"/>
      <c r="UX30" s="94"/>
      <c r="UY30" s="94"/>
      <c r="UZ30" s="94"/>
      <c r="VA30" s="94"/>
      <c r="VB30" s="94"/>
      <c r="VC30" s="94"/>
      <c r="VD30" s="94"/>
      <c r="VE30" s="94"/>
      <c r="VF30" s="94"/>
      <c r="VG30" s="94"/>
      <c r="VH30" s="94"/>
      <c r="VI30" s="94"/>
      <c r="VJ30" s="94"/>
      <c r="VK30" s="94"/>
      <c r="VL30" s="94"/>
      <c r="VM30" s="94"/>
      <c r="VN30" s="94"/>
      <c r="VO30" s="94"/>
      <c r="VP30" s="94"/>
      <c r="VQ30" s="94"/>
      <c r="VR30" s="94"/>
      <c r="VS30" s="94"/>
      <c r="VT30" s="94"/>
      <c r="VU30" s="94"/>
      <c r="VV30" s="94"/>
      <c r="VW30" s="94"/>
      <c r="VX30" s="94"/>
      <c r="VY30" s="94"/>
      <c r="VZ30" s="94"/>
      <c r="WA30" s="94"/>
      <c r="WB30" s="94"/>
      <c r="WC30" s="94"/>
      <c r="WD30" s="94"/>
      <c r="WE30" s="94"/>
      <c r="WF30" s="94"/>
      <c r="WG30" s="94"/>
      <c r="WH30" s="94"/>
      <c r="WI30" s="94"/>
      <c r="WJ30" s="94"/>
      <c r="WK30" s="94"/>
      <c r="WL30" s="94"/>
      <c r="WM30" s="94"/>
    </row>
    <row r="31" spans="1:611" s="94" customFormat="1" ht="14" x14ac:dyDescent="0.1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</row>
    <row r="32" spans="1:611" s="94" customFormat="1" ht="14" x14ac:dyDescent="0.1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110"/>
      <c r="P32" s="110"/>
      <c r="Q32" s="110"/>
      <c r="R32" s="110"/>
      <c r="S32" s="110"/>
      <c r="T32" s="93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</row>
    <row r="33" spans="1:49" s="94" customFormat="1" ht="14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110"/>
      <c r="P33" s="110"/>
      <c r="Q33" s="110"/>
      <c r="R33" s="110"/>
      <c r="S33" s="110"/>
      <c r="T33" s="93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</row>
    <row r="34" spans="1:49" s="94" customFormat="1" ht="14" x14ac:dyDescent="0.1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110"/>
      <c r="P34" s="110"/>
      <c r="Q34" s="110"/>
      <c r="R34" s="110"/>
      <c r="S34" s="110"/>
      <c r="T34" s="93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</row>
    <row r="35" spans="1:49" s="94" customFormat="1" ht="14" x14ac:dyDescent="0.1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110"/>
      <c r="P35" s="110"/>
      <c r="Q35" s="110"/>
      <c r="R35" s="110"/>
      <c r="S35" s="110"/>
      <c r="T35" s="93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</row>
    <row r="36" spans="1:49" s="94" customFormat="1" ht="14" x14ac:dyDescent="0.1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110"/>
      <c r="P36" s="110"/>
      <c r="Q36" s="110"/>
      <c r="R36" s="110"/>
      <c r="S36" s="110"/>
      <c r="T36" s="93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</row>
    <row r="37" spans="1:49" s="94" customFormat="1" ht="14" x14ac:dyDescent="0.1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110"/>
      <c r="P37" s="110"/>
      <c r="Q37" s="110"/>
      <c r="R37" s="110"/>
      <c r="S37" s="110"/>
      <c r="T37" s="93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</row>
    <row r="38" spans="1:49" s="94" customFormat="1" ht="14" x14ac:dyDescent="0.1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110"/>
      <c r="P38" s="110"/>
      <c r="Q38" s="110"/>
      <c r="R38" s="110"/>
      <c r="S38" s="110"/>
      <c r="T38" s="93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</row>
    <row r="39" spans="1:49" s="94" customFormat="1" ht="14" x14ac:dyDescent="0.1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110"/>
      <c r="P39" s="110"/>
      <c r="Q39" s="110"/>
      <c r="R39" s="110"/>
      <c r="S39" s="110"/>
      <c r="T39" s="93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</row>
    <row r="40" spans="1:49" s="94" customFormat="1" ht="14" x14ac:dyDescent="0.1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110"/>
      <c r="P40" s="110"/>
      <c r="Q40" s="110"/>
      <c r="R40" s="110"/>
      <c r="S40" s="110"/>
      <c r="T40" s="93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</row>
    <row r="41" spans="1:49" s="94" customFormat="1" ht="14" x14ac:dyDescent="0.1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10"/>
      <c r="P41" s="110"/>
      <c r="Q41" s="110"/>
      <c r="R41" s="110"/>
      <c r="S41" s="110"/>
      <c r="T41" s="93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</row>
    <row r="42" spans="1:49" s="94" customFormat="1" ht="14" x14ac:dyDescent="0.1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110"/>
      <c r="P42" s="110"/>
      <c r="Q42" s="110"/>
      <c r="R42" s="110"/>
      <c r="S42" s="110"/>
      <c r="T42" s="93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</row>
    <row r="43" spans="1:49" s="94" customFormat="1" ht="14" x14ac:dyDescent="0.1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110"/>
      <c r="P43" s="110"/>
      <c r="Q43" s="110"/>
      <c r="R43" s="110"/>
      <c r="S43" s="110"/>
      <c r="T43" s="93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</row>
    <row r="44" spans="1:49" s="94" customFormat="1" ht="14" x14ac:dyDescent="0.1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110"/>
      <c r="P44" s="110"/>
      <c r="Q44" s="110"/>
      <c r="R44" s="110"/>
      <c r="S44" s="110"/>
      <c r="T44" s="93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</row>
    <row r="45" spans="1:49" s="94" customFormat="1" ht="14" x14ac:dyDescent="0.1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110"/>
      <c r="P45" s="110"/>
      <c r="Q45" s="110"/>
      <c r="R45" s="110"/>
      <c r="S45" s="110"/>
      <c r="T45" s="93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</row>
    <row r="46" spans="1:49" s="94" customFormat="1" ht="14" x14ac:dyDescent="0.1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110"/>
      <c r="P46" s="110"/>
      <c r="Q46" s="110"/>
      <c r="R46" s="110"/>
      <c r="S46" s="110"/>
      <c r="T46" s="93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</row>
    <row r="47" spans="1:49" s="94" customFormat="1" ht="14" x14ac:dyDescent="0.1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110"/>
      <c r="P47" s="110"/>
      <c r="Q47" s="110"/>
      <c r="R47" s="110"/>
      <c r="S47" s="110"/>
      <c r="T47" s="93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</row>
    <row r="48" spans="1:49" s="94" customFormat="1" ht="14" x14ac:dyDescent="0.1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110"/>
      <c r="P48" s="110"/>
      <c r="Q48" s="110"/>
      <c r="R48" s="110"/>
      <c r="S48" s="110"/>
      <c r="T48" s="93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</row>
    <row r="49" spans="1:49" s="94" customFormat="1" ht="14" x14ac:dyDescent="0.15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110"/>
      <c r="P49" s="110"/>
      <c r="Q49" s="110"/>
      <c r="R49" s="110"/>
      <c r="S49" s="110"/>
      <c r="T49" s="93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</row>
    <row r="50" spans="1:49" s="94" customFormat="1" ht="14" x14ac:dyDescent="0.1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110"/>
      <c r="P50" s="110"/>
      <c r="Q50" s="110"/>
      <c r="R50" s="110"/>
      <c r="S50" s="110"/>
      <c r="T50" s="93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</row>
    <row r="51" spans="1:49" s="94" customFormat="1" ht="14" x14ac:dyDescent="0.1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110"/>
      <c r="P51" s="110"/>
      <c r="Q51" s="110"/>
      <c r="R51" s="110"/>
      <c r="S51" s="110"/>
      <c r="T51" s="93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</row>
    <row r="52" spans="1:49" s="94" customFormat="1" ht="14" x14ac:dyDescent="0.1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110"/>
      <c r="P52" s="110"/>
      <c r="Q52" s="110"/>
      <c r="R52" s="110"/>
      <c r="S52" s="110"/>
      <c r="T52" s="93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</row>
    <row r="53" spans="1:49" s="94" customFormat="1" ht="14" x14ac:dyDescent="0.1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110"/>
      <c r="P53" s="110"/>
      <c r="Q53" s="110"/>
      <c r="R53" s="110"/>
      <c r="S53" s="110"/>
      <c r="T53" s="93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</row>
    <row r="54" spans="1:49" s="94" customFormat="1" ht="14" x14ac:dyDescent="0.1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110"/>
      <c r="P54" s="110"/>
      <c r="Q54" s="110"/>
      <c r="R54" s="110"/>
      <c r="S54" s="110"/>
      <c r="T54" s="93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</row>
    <row r="55" spans="1:49" s="94" customFormat="1" ht="14" x14ac:dyDescent="0.1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110"/>
      <c r="P55" s="110"/>
      <c r="Q55" s="110"/>
      <c r="R55" s="110"/>
      <c r="S55" s="110"/>
      <c r="T55" s="93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</row>
    <row r="56" spans="1:49" s="94" customFormat="1" ht="14" x14ac:dyDescent="0.15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110"/>
      <c r="P56" s="110"/>
      <c r="Q56" s="110"/>
      <c r="R56" s="110"/>
      <c r="S56" s="110"/>
      <c r="T56" s="93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</row>
    <row r="57" spans="1:49" s="94" customFormat="1" ht="14" x14ac:dyDescent="0.1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110"/>
      <c r="P57" s="110"/>
      <c r="Q57" s="110"/>
      <c r="R57" s="110"/>
      <c r="S57" s="110"/>
      <c r="T57" s="93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</row>
    <row r="58" spans="1:49" s="94" customFormat="1" ht="14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110"/>
      <c r="P58" s="110"/>
      <c r="Q58" s="110"/>
      <c r="R58" s="110"/>
      <c r="S58" s="110"/>
      <c r="T58" s="93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</row>
    <row r="59" spans="1:49" s="94" customFormat="1" ht="14" x14ac:dyDescent="0.15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110"/>
      <c r="P59" s="110"/>
      <c r="Q59" s="110"/>
      <c r="R59" s="110"/>
      <c r="S59" s="110"/>
      <c r="T59" s="93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</row>
    <row r="60" spans="1:49" s="94" customFormat="1" ht="14" x14ac:dyDescent="0.1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110"/>
      <c r="P60" s="110"/>
      <c r="Q60" s="110"/>
      <c r="R60" s="110"/>
      <c r="S60" s="110"/>
      <c r="T60" s="93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</row>
    <row r="61" spans="1:49" s="94" customFormat="1" ht="14" x14ac:dyDescent="0.15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110"/>
      <c r="P61" s="110"/>
      <c r="Q61" s="110"/>
      <c r="R61" s="110"/>
      <c r="S61" s="110"/>
      <c r="T61" s="93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</row>
    <row r="62" spans="1:49" s="94" customFormat="1" ht="14" x14ac:dyDescent="0.15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110"/>
      <c r="P62" s="110"/>
      <c r="Q62" s="110"/>
      <c r="R62" s="110"/>
      <c r="S62" s="110"/>
      <c r="T62" s="93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</row>
    <row r="63" spans="1:49" s="94" customFormat="1" ht="14" x14ac:dyDescent="0.1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110"/>
      <c r="P63" s="110"/>
      <c r="Q63" s="110"/>
      <c r="R63" s="110"/>
      <c r="S63" s="110"/>
      <c r="T63" s="93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</row>
    <row r="64" spans="1:49" s="94" customFormat="1" ht="14" x14ac:dyDescent="0.15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110"/>
      <c r="P64" s="110"/>
      <c r="Q64" s="110"/>
      <c r="R64" s="110"/>
      <c r="S64" s="110"/>
      <c r="T64" s="93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</row>
    <row r="65" spans="1:49" s="94" customFormat="1" ht="14" x14ac:dyDescent="0.1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110"/>
      <c r="P65" s="110"/>
      <c r="Q65" s="110"/>
      <c r="R65" s="110"/>
      <c r="S65" s="110"/>
      <c r="T65" s="93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</row>
    <row r="66" spans="1:49" s="94" customFormat="1" ht="14" x14ac:dyDescent="0.15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110"/>
      <c r="P66" s="110"/>
      <c r="Q66" s="110"/>
      <c r="R66" s="110"/>
      <c r="S66" s="110"/>
      <c r="T66" s="93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</row>
    <row r="67" spans="1:49" s="94" customFormat="1" ht="14" x14ac:dyDescent="0.1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110"/>
      <c r="P67" s="110"/>
      <c r="Q67" s="110"/>
      <c r="R67" s="110"/>
      <c r="S67" s="110"/>
      <c r="T67" s="93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</row>
    <row r="68" spans="1:49" s="94" customFormat="1" ht="14" x14ac:dyDescent="0.15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110"/>
      <c r="P68" s="110"/>
      <c r="Q68" s="110"/>
      <c r="R68" s="110"/>
      <c r="S68" s="110"/>
      <c r="T68" s="93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</row>
    <row r="69" spans="1:49" s="94" customFormat="1" ht="14" x14ac:dyDescent="0.15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110"/>
      <c r="P69" s="110"/>
      <c r="Q69" s="110"/>
      <c r="R69" s="110"/>
      <c r="S69" s="110"/>
      <c r="T69" s="93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</row>
    <row r="70" spans="1:49" s="94" customFormat="1" ht="14" x14ac:dyDescent="0.15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110"/>
      <c r="P70" s="110"/>
      <c r="Q70" s="110"/>
      <c r="R70" s="110"/>
      <c r="S70" s="110"/>
      <c r="T70" s="93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</row>
    <row r="71" spans="1:49" s="94" customFormat="1" ht="14" x14ac:dyDescent="0.15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110"/>
      <c r="P71" s="110"/>
      <c r="Q71" s="110"/>
      <c r="R71" s="110"/>
      <c r="S71" s="110"/>
      <c r="T71" s="93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</row>
    <row r="72" spans="1:49" s="94" customFormat="1" ht="14" x14ac:dyDescent="0.15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110"/>
      <c r="P72" s="110"/>
      <c r="Q72" s="110"/>
      <c r="R72" s="110"/>
      <c r="S72" s="110"/>
      <c r="T72" s="93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</row>
    <row r="73" spans="1:49" s="94" customFormat="1" ht="14" x14ac:dyDescent="0.1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110"/>
      <c r="P73" s="110"/>
      <c r="Q73" s="110"/>
      <c r="R73" s="110"/>
      <c r="S73" s="110"/>
      <c r="T73" s="93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</row>
    <row r="74" spans="1:49" s="94" customFormat="1" ht="14" x14ac:dyDescent="0.1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110"/>
      <c r="P74" s="110"/>
      <c r="Q74" s="110"/>
      <c r="R74" s="110"/>
      <c r="S74" s="110"/>
      <c r="T74" s="93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</row>
    <row r="75" spans="1:49" s="94" customFormat="1" x14ac:dyDescent="0.15"/>
    <row r="76" spans="1:49" s="94" customFormat="1" x14ac:dyDescent="0.15"/>
    <row r="77" spans="1:49" s="94" customFormat="1" x14ac:dyDescent="0.15"/>
    <row r="78" spans="1:49" s="94" customFormat="1" x14ac:dyDescent="0.15"/>
    <row r="79" spans="1:49" s="94" customFormat="1" x14ac:dyDescent="0.15"/>
    <row r="80" spans="1:49" s="94" customFormat="1" x14ac:dyDescent="0.15"/>
    <row r="81" s="94" customFormat="1" x14ac:dyDescent="0.15"/>
    <row r="82" s="94" customFormat="1" x14ac:dyDescent="0.15"/>
    <row r="83" s="94" customFormat="1" x14ac:dyDescent="0.15"/>
    <row r="84" s="94" customFormat="1" x14ac:dyDescent="0.15"/>
    <row r="85" s="94" customFormat="1" x14ac:dyDescent="0.15"/>
    <row r="86" s="94" customFormat="1" x14ac:dyDescent="0.15"/>
    <row r="87" s="94" customFormat="1" x14ac:dyDescent="0.15"/>
    <row r="88" s="94" customFormat="1" x14ac:dyDescent="0.15"/>
    <row r="89" s="94" customFormat="1" x14ac:dyDescent="0.15"/>
    <row r="90" s="94" customFormat="1" x14ac:dyDescent="0.15"/>
    <row r="91" s="94" customFormat="1" x14ac:dyDescent="0.15"/>
    <row r="92" s="94" customFormat="1" x14ac:dyDescent="0.15"/>
    <row r="93" s="94" customFormat="1" x14ac:dyDescent="0.15"/>
    <row r="94" s="94" customFormat="1" x14ac:dyDescent="0.15"/>
    <row r="95" s="94" customFormat="1" x14ac:dyDescent="0.15"/>
    <row r="96" s="94" customFormat="1" x14ac:dyDescent="0.15"/>
    <row r="97" s="94" customFormat="1" x14ac:dyDescent="0.15"/>
    <row r="98" s="94" customFormat="1" x14ac:dyDescent="0.15"/>
    <row r="99" s="94" customFormat="1" x14ac:dyDescent="0.15"/>
    <row r="100" s="94" customFormat="1" x14ac:dyDescent="0.15"/>
    <row r="101" s="94" customFormat="1" x14ac:dyDescent="0.15"/>
    <row r="102" s="94" customFormat="1" x14ac:dyDescent="0.15"/>
    <row r="103" s="94" customFormat="1" x14ac:dyDescent="0.15"/>
    <row r="104" s="94" customFormat="1" x14ac:dyDescent="0.15"/>
    <row r="105" s="94" customFormat="1" x14ac:dyDescent="0.15"/>
    <row r="106" s="94" customFormat="1" x14ac:dyDescent="0.15"/>
    <row r="107" s="94" customFormat="1" x14ac:dyDescent="0.15"/>
    <row r="108" s="94" customFormat="1" x14ac:dyDescent="0.15"/>
    <row r="109" s="94" customFormat="1" x14ac:dyDescent="0.15"/>
    <row r="110" s="94" customFormat="1" x14ac:dyDescent="0.15"/>
    <row r="111" s="94" customFormat="1" x14ac:dyDescent="0.15"/>
    <row r="112" s="94" customFormat="1" x14ac:dyDescent="0.15"/>
    <row r="113" s="94" customFormat="1" x14ac:dyDescent="0.15"/>
    <row r="114" s="94" customFormat="1" x14ac:dyDescent="0.15"/>
    <row r="115" s="94" customFormat="1" x14ac:dyDescent="0.15"/>
    <row r="116" s="94" customFormat="1" x14ac:dyDescent="0.15"/>
    <row r="117" s="94" customFormat="1" x14ac:dyDescent="0.15"/>
    <row r="118" s="94" customFormat="1" x14ac:dyDescent="0.15"/>
    <row r="119" s="94" customFormat="1" x14ac:dyDescent="0.15"/>
    <row r="120" s="94" customFormat="1" x14ac:dyDescent="0.15"/>
    <row r="121" s="94" customFormat="1" x14ac:dyDescent="0.15"/>
    <row r="122" s="94" customFormat="1" x14ac:dyDescent="0.15"/>
    <row r="123" s="94" customFormat="1" x14ac:dyDescent="0.15"/>
    <row r="124" s="94" customFormat="1" x14ac:dyDescent="0.15"/>
    <row r="125" s="94" customFormat="1" x14ac:dyDescent="0.15"/>
    <row r="126" s="94" customFormat="1" x14ac:dyDescent="0.15"/>
    <row r="127" s="94" customFormat="1" x14ac:dyDescent="0.15"/>
    <row r="128" s="94" customFormat="1" x14ac:dyDescent="0.15"/>
    <row r="129" s="94" customFormat="1" x14ac:dyDescent="0.15"/>
    <row r="130" s="94" customFormat="1" x14ac:dyDescent="0.15"/>
    <row r="131" s="94" customFormat="1" x14ac:dyDescent="0.15"/>
    <row r="132" s="94" customFormat="1" x14ac:dyDescent="0.15"/>
    <row r="133" s="94" customFormat="1" x14ac:dyDescent="0.15"/>
    <row r="134" s="94" customFormat="1" x14ac:dyDescent="0.15"/>
    <row r="135" s="94" customFormat="1" x14ac:dyDescent="0.15"/>
    <row r="136" s="94" customFormat="1" x14ac:dyDescent="0.15"/>
    <row r="137" s="94" customFormat="1" x14ac:dyDescent="0.15"/>
    <row r="138" s="94" customFormat="1" x14ac:dyDescent="0.15"/>
    <row r="139" s="94" customFormat="1" x14ac:dyDescent="0.15"/>
    <row r="140" s="94" customFormat="1" x14ac:dyDescent="0.15"/>
    <row r="141" s="94" customFormat="1" x14ac:dyDescent="0.15"/>
    <row r="142" s="94" customFormat="1" x14ac:dyDescent="0.15"/>
    <row r="143" s="94" customFormat="1" x14ac:dyDescent="0.15"/>
    <row r="144" s="94" customFormat="1" x14ac:dyDescent="0.15"/>
    <row r="145" s="94" customFormat="1" x14ac:dyDescent="0.15"/>
    <row r="146" s="94" customFormat="1" x14ac:dyDescent="0.15"/>
    <row r="147" s="94" customFormat="1" x14ac:dyDescent="0.15"/>
    <row r="148" s="94" customFormat="1" x14ac:dyDescent="0.15"/>
    <row r="149" s="94" customFormat="1" x14ac:dyDescent="0.15"/>
    <row r="150" s="94" customFormat="1" x14ac:dyDescent="0.15"/>
    <row r="151" s="94" customFormat="1" x14ac:dyDescent="0.15"/>
    <row r="152" s="94" customFormat="1" x14ac:dyDescent="0.15"/>
    <row r="153" s="94" customFormat="1" x14ac:dyDescent="0.15"/>
    <row r="154" s="94" customFormat="1" x14ac:dyDescent="0.15"/>
    <row r="155" s="94" customFormat="1" x14ac:dyDescent="0.15"/>
    <row r="156" s="94" customFormat="1" x14ac:dyDescent="0.15"/>
    <row r="157" s="94" customFormat="1" x14ac:dyDescent="0.15"/>
    <row r="158" s="94" customFormat="1" x14ac:dyDescent="0.15"/>
    <row r="159" s="94" customFormat="1" x14ac:dyDescent="0.15"/>
    <row r="160" s="94" customFormat="1" x14ac:dyDescent="0.15"/>
    <row r="161" s="94" customFormat="1" x14ac:dyDescent="0.15"/>
    <row r="162" s="94" customFormat="1" x14ac:dyDescent="0.15"/>
    <row r="163" s="94" customFormat="1" x14ac:dyDescent="0.15"/>
    <row r="164" s="94" customFormat="1" x14ac:dyDescent="0.15"/>
    <row r="165" s="94" customFormat="1" x14ac:dyDescent="0.15"/>
    <row r="166" s="94" customFormat="1" x14ac:dyDescent="0.15"/>
    <row r="167" s="94" customFormat="1" x14ac:dyDescent="0.15"/>
    <row r="168" s="94" customFormat="1" x14ac:dyDescent="0.15"/>
    <row r="169" s="94" customFormat="1" x14ac:dyDescent="0.15"/>
    <row r="170" s="94" customFormat="1" x14ac:dyDescent="0.15"/>
    <row r="171" s="94" customFormat="1" x14ac:dyDescent="0.15"/>
    <row r="172" s="94" customFormat="1" x14ac:dyDescent="0.15"/>
    <row r="173" s="94" customFormat="1" x14ac:dyDescent="0.15"/>
    <row r="174" s="94" customFormat="1" x14ac:dyDescent="0.15"/>
    <row r="175" s="94" customFormat="1" x14ac:dyDescent="0.15"/>
    <row r="176" s="94" customFormat="1" x14ac:dyDescent="0.15"/>
    <row r="177" s="94" customFormat="1" x14ac:dyDescent="0.15"/>
    <row r="178" s="94" customFormat="1" x14ac:dyDescent="0.15"/>
    <row r="179" s="94" customFormat="1" x14ac:dyDescent="0.15"/>
    <row r="180" s="94" customFormat="1" x14ac:dyDescent="0.15"/>
    <row r="181" s="94" customFormat="1" x14ac:dyDescent="0.15"/>
    <row r="182" s="94" customFormat="1" x14ac:dyDescent="0.15"/>
    <row r="183" s="94" customFormat="1" x14ac:dyDescent="0.15"/>
    <row r="184" s="94" customFormat="1" x14ac:dyDescent="0.15"/>
    <row r="185" s="94" customFormat="1" x14ac:dyDescent="0.15"/>
    <row r="186" s="94" customFormat="1" x14ac:dyDescent="0.15"/>
    <row r="187" s="94" customFormat="1" x14ac:dyDescent="0.15"/>
    <row r="188" s="94" customFormat="1" x14ac:dyDescent="0.15"/>
    <row r="189" s="94" customFormat="1" x14ac:dyDescent="0.15"/>
    <row r="190" s="94" customFormat="1" x14ac:dyDescent="0.15"/>
    <row r="191" s="94" customFormat="1" x14ac:dyDescent="0.15"/>
    <row r="192" s="94" customFormat="1" x14ac:dyDescent="0.15"/>
    <row r="193" s="94" customFormat="1" x14ac:dyDescent="0.15"/>
    <row r="194" s="94" customFormat="1" x14ac:dyDescent="0.15"/>
    <row r="195" s="94" customFormat="1" x14ac:dyDescent="0.15"/>
    <row r="196" s="94" customFormat="1" x14ac:dyDescent="0.15"/>
    <row r="197" s="94" customFormat="1" x14ac:dyDescent="0.15"/>
    <row r="198" s="94" customFormat="1" x14ac:dyDescent="0.15"/>
    <row r="199" s="94" customFormat="1" x14ac:dyDescent="0.15"/>
    <row r="200" s="94" customFormat="1" x14ac:dyDescent="0.15"/>
    <row r="201" s="94" customFormat="1" x14ac:dyDescent="0.15"/>
    <row r="202" s="94" customFormat="1" x14ac:dyDescent="0.15"/>
    <row r="203" s="94" customFormat="1" x14ac:dyDescent="0.15"/>
    <row r="204" s="94" customFormat="1" x14ac:dyDescent="0.15"/>
    <row r="205" s="94" customFormat="1" x14ac:dyDescent="0.15"/>
    <row r="206" s="94" customFormat="1" x14ac:dyDescent="0.15"/>
    <row r="207" s="94" customFormat="1" x14ac:dyDescent="0.15"/>
    <row r="208" s="94" customFormat="1" x14ac:dyDescent="0.15"/>
    <row r="209" s="94" customFormat="1" x14ac:dyDescent="0.15"/>
    <row r="210" s="94" customFormat="1" x14ac:dyDescent="0.15"/>
    <row r="211" s="94" customFormat="1" x14ac:dyDescent="0.15"/>
    <row r="212" s="94" customFormat="1" x14ac:dyDescent="0.15"/>
    <row r="213" s="94" customFormat="1" x14ac:dyDescent="0.15"/>
    <row r="214" s="94" customFormat="1" x14ac:dyDescent="0.15"/>
    <row r="215" s="94" customFormat="1" x14ac:dyDescent="0.15"/>
    <row r="216" s="94" customFormat="1" x14ac:dyDescent="0.15"/>
    <row r="217" s="94" customFormat="1" x14ac:dyDescent="0.15"/>
    <row r="218" s="94" customFormat="1" x14ac:dyDescent="0.15"/>
    <row r="219" s="94" customFormat="1" x14ac:dyDescent="0.15"/>
    <row r="220" s="94" customFormat="1" x14ac:dyDescent="0.15"/>
    <row r="221" s="94" customFormat="1" x14ac:dyDescent="0.15"/>
    <row r="222" s="94" customFormat="1" x14ac:dyDescent="0.15"/>
    <row r="223" s="94" customFormat="1" x14ac:dyDescent="0.15"/>
    <row r="224" s="94" customFormat="1" x14ac:dyDescent="0.15"/>
    <row r="225" s="94" customFormat="1" x14ac:dyDescent="0.15"/>
    <row r="226" s="94" customFormat="1" x14ac:dyDescent="0.15"/>
    <row r="227" s="94" customFormat="1" x14ac:dyDescent="0.15"/>
    <row r="228" s="94" customFormat="1" x14ac:dyDescent="0.15"/>
    <row r="229" s="94" customFormat="1" x14ac:dyDescent="0.15"/>
    <row r="230" s="94" customFormat="1" x14ac:dyDescent="0.15"/>
    <row r="231" s="94" customFormat="1" x14ac:dyDescent="0.15"/>
    <row r="232" s="94" customFormat="1" x14ac:dyDescent="0.15"/>
    <row r="233" s="94" customFormat="1" x14ac:dyDescent="0.15"/>
    <row r="234" s="94" customFormat="1" x14ac:dyDescent="0.15"/>
    <row r="235" s="94" customFormat="1" x14ac:dyDescent="0.15"/>
    <row r="236" s="94" customFormat="1" x14ac:dyDescent="0.15"/>
    <row r="237" s="94" customFormat="1" x14ac:dyDescent="0.15"/>
    <row r="238" s="94" customFormat="1" x14ac:dyDescent="0.15"/>
    <row r="239" s="94" customFormat="1" x14ac:dyDescent="0.15"/>
    <row r="240" s="94" customFormat="1" x14ac:dyDescent="0.15"/>
    <row r="241" s="94" customFormat="1" x14ac:dyDescent="0.15"/>
    <row r="242" s="94" customFormat="1" x14ac:dyDescent="0.15"/>
    <row r="243" s="94" customFormat="1" x14ac:dyDescent="0.15"/>
    <row r="244" s="94" customFormat="1" x14ac:dyDescent="0.15"/>
    <row r="245" s="94" customFormat="1" x14ac:dyDescent="0.15"/>
    <row r="246" s="94" customFormat="1" x14ac:dyDescent="0.15"/>
    <row r="247" s="94" customFormat="1" x14ac:dyDescent="0.15"/>
    <row r="248" s="94" customFormat="1" x14ac:dyDescent="0.15"/>
    <row r="249" s="94" customFormat="1" x14ac:dyDescent="0.15"/>
    <row r="250" s="94" customFormat="1" x14ac:dyDescent="0.15"/>
    <row r="251" s="94" customFormat="1" x14ac:dyDescent="0.15"/>
    <row r="252" s="94" customFormat="1" x14ac:dyDescent="0.15"/>
    <row r="253" s="94" customFormat="1" x14ac:dyDescent="0.15"/>
    <row r="254" s="94" customFormat="1" x14ac:dyDescent="0.15"/>
    <row r="255" s="94" customFormat="1" x14ac:dyDescent="0.15"/>
    <row r="256" s="94" customFormat="1" x14ac:dyDescent="0.15"/>
    <row r="257" s="94" customFormat="1" x14ac:dyDescent="0.15"/>
    <row r="258" s="94" customFormat="1" x14ac:dyDescent="0.15"/>
    <row r="259" s="94" customFormat="1" x14ac:dyDescent="0.15"/>
    <row r="260" s="94" customFormat="1" x14ac:dyDescent="0.15"/>
    <row r="261" s="94" customFormat="1" x14ac:dyDescent="0.15"/>
    <row r="262" s="94" customFormat="1" x14ac:dyDescent="0.15"/>
    <row r="263" s="94" customFormat="1" x14ac:dyDescent="0.15"/>
    <row r="264" s="94" customFormat="1" x14ac:dyDescent="0.15"/>
    <row r="265" s="94" customFormat="1" x14ac:dyDescent="0.15"/>
    <row r="266" s="94" customFormat="1" x14ac:dyDescent="0.15"/>
    <row r="267" s="94" customFormat="1" x14ac:dyDescent="0.15"/>
    <row r="268" s="94" customFormat="1" x14ac:dyDescent="0.15"/>
    <row r="269" s="94" customFormat="1" x14ac:dyDescent="0.15"/>
    <row r="270" s="94" customFormat="1" x14ac:dyDescent="0.15"/>
    <row r="271" s="94" customFormat="1" x14ac:dyDescent="0.15"/>
    <row r="272" s="94" customFormat="1" x14ac:dyDescent="0.15"/>
    <row r="273" s="94" customFormat="1" x14ac:dyDescent="0.15"/>
    <row r="274" s="94" customFormat="1" x14ac:dyDescent="0.15"/>
    <row r="275" s="94" customFormat="1" x14ac:dyDescent="0.15"/>
    <row r="276" s="94" customFormat="1" x14ac:dyDescent="0.15"/>
    <row r="277" s="94" customFormat="1" x14ac:dyDescent="0.15"/>
    <row r="278" s="94" customFormat="1" x14ac:dyDescent="0.15"/>
    <row r="279" s="94" customFormat="1" x14ac:dyDescent="0.15"/>
    <row r="280" s="94" customFormat="1" x14ac:dyDescent="0.15"/>
    <row r="281" s="94" customFormat="1" x14ac:dyDescent="0.15"/>
    <row r="282" s="94" customFormat="1" x14ac:dyDescent="0.15"/>
    <row r="283" s="94" customFormat="1" x14ac:dyDescent="0.15"/>
    <row r="284" s="94" customFormat="1" x14ac:dyDescent="0.15"/>
    <row r="285" s="94" customFormat="1" x14ac:dyDescent="0.15"/>
    <row r="286" s="94" customFormat="1" x14ac:dyDescent="0.15"/>
    <row r="287" s="94" customFormat="1" x14ac:dyDescent="0.15"/>
    <row r="288" s="94" customFormat="1" x14ac:dyDescent="0.15"/>
    <row r="289" s="94" customFormat="1" x14ac:dyDescent="0.15"/>
    <row r="290" s="94" customFormat="1" x14ac:dyDescent="0.15"/>
    <row r="291" s="94" customFormat="1" x14ac:dyDescent="0.15"/>
    <row r="292" s="94" customFormat="1" x14ac:dyDescent="0.15"/>
    <row r="293" s="94" customFormat="1" x14ac:dyDescent="0.15"/>
    <row r="294" s="94" customFormat="1" x14ac:dyDescent="0.15"/>
    <row r="295" s="94" customFormat="1" x14ac:dyDescent="0.15"/>
    <row r="296" s="94" customFormat="1" x14ac:dyDescent="0.15"/>
    <row r="297" s="94" customFormat="1" x14ac:dyDescent="0.15"/>
    <row r="298" s="94" customFormat="1" x14ac:dyDescent="0.15"/>
    <row r="299" s="94" customFormat="1" x14ac:dyDescent="0.15"/>
    <row r="300" s="94" customFormat="1" x14ac:dyDescent="0.15"/>
    <row r="301" s="94" customFormat="1" x14ac:dyDescent="0.15"/>
    <row r="302" s="94" customFormat="1" x14ac:dyDescent="0.15"/>
    <row r="303" s="94" customFormat="1" x14ac:dyDescent="0.15"/>
    <row r="304" s="94" customFormat="1" x14ac:dyDescent="0.15"/>
    <row r="305" s="94" customFormat="1" x14ac:dyDescent="0.15"/>
    <row r="306" s="94" customFormat="1" x14ac:dyDescent="0.15"/>
    <row r="307" s="94" customFormat="1" x14ac:dyDescent="0.15"/>
    <row r="308" s="94" customFormat="1" x14ac:dyDescent="0.15"/>
    <row r="309" s="94" customFormat="1" x14ac:dyDescent="0.15"/>
    <row r="310" s="94" customFormat="1" x14ac:dyDescent="0.15"/>
  </sheetData>
  <sheetProtection algorithmName="SHA-512" hashValue="bW+Q8sYhgfH3VkGRLoLojB8qODtyOgvIsaLZL3jTQACEEdgaVT+obecw0imgIXR26VOpKqxR1Rmiy61THlfukg==" saltValue="m26A0XtXBiUyhxQETMwH/g==" spinCount="100000" sheet="1" objects="1" scenarios="1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theme="8" tint="0.79998168889431442"/>
  </sheetPr>
  <dimension ref="A1:AW275"/>
  <sheetViews>
    <sheetView zoomScaleNormal="100" zoomScalePageLayoutView="120" workbookViewId="0">
      <selection activeCell="M28" sqref="M28"/>
    </sheetView>
  </sheetViews>
  <sheetFormatPr baseColWidth="10" defaultRowHeight="13" x14ac:dyDescent="0.15"/>
  <cols>
    <col min="1" max="2" width="20.33203125" style="59" customWidth="1"/>
    <col min="3" max="14" width="12.1640625" style="59" customWidth="1"/>
    <col min="15" max="16" width="12.1640625" style="59" hidden="1" customWidth="1"/>
    <col min="17" max="20" width="12.1640625" style="59" customWidth="1"/>
    <col min="21" max="49" width="7.5" style="88" customWidth="1"/>
    <col min="50" max="16384" width="10.83203125" style="59"/>
  </cols>
  <sheetData>
    <row r="1" spans="1:49" s="88" customFormat="1" ht="14" x14ac:dyDescent="0.15">
      <c r="A1" s="87" t="s">
        <v>149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</row>
    <row r="2" spans="1:49" s="88" customFormat="1" ht="14" x14ac:dyDescent="0.15">
      <c r="A2" s="89" t="s">
        <v>48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spans="1:49" s="88" customFormat="1" ht="15" thickBot="1" x14ac:dyDescent="0.2">
      <c r="A3" s="87"/>
      <c r="B3" s="87"/>
      <c r="C3" s="87"/>
      <c r="D3" s="87"/>
      <c r="E3" s="87"/>
      <c r="F3" s="87"/>
      <c r="G3" s="90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</row>
    <row r="4" spans="1:49" ht="14" x14ac:dyDescent="0.15">
      <c r="A4" s="62" t="s">
        <v>13</v>
      </c>
      <c r="B4" s="63"/>
      <c r="C4" s="63"/>
      <c r="D4" s="63"/>
      <c r="E4" s="63"/>
      <c r="F4" s="63"/>
      <c r="G4" s="64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5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</row>
    <row r="5" spans="1:49" ht="14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</row>
    <row r="6" spans="1:49" ht="14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</row>
    <row r="7" spans="1:49" ht="75" x14ac:dyDescent="0.15">
      <c r="A7" s="146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6" t="s">
        <v>84</v>
      </c>
      <c r="G7" s="141" t="s">
        <v>85</v>
      </c>
      <c r="H7" s="147" t="s">
        <v>86</v>
      </c>
      <c r="I7" s="141" t="s">
        <v>87</v>
      </c>
      <c r="J7" s="142" t="s">
        <v>61</v>
      </c>
      <c r="K7" s="143" t="s">
        <v>62</v>
      </c>
      <c r="L7" s="143" t="s">
        <v>63</v>
      </c>
      <c r="M7" s="143" t="s">
        <v>64</v>
      </c>
      <c r="N7" s="143" t="s">
        <v>65</v>
      </c>
      <c r="O7" s="144" t="s">
        <v>66</v>
      </c>
      <c r="P7" s="144" t="s">
        <v>67</v>
      </c>
      <c r="Q7" s="144" t="s">
        <v>25</v>
      </c>
      <c r="R7" s="144" t="s">
        <v>26</v>
      </c>
      <c r="S7" s="143" t="s">
        <v>68</v>
      </c>
      <c r="T7" s="158" t="s">
        <v>95</v>
      </c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</row>
    <row r="8" spans="1:49" ht="14" x14ac:dyDescent="0.15">
      <c r="A8" s="150" t="str">
        <f>'TAS Apr 2017'!K2</f>
        <v>Aurora Energy</v>
      </c>
      <c r="B8" s="159" t="str">
        <f>'TAS Apr 2017'!L2</f>
        <v>Regulated offer</v>
      </c>
      <c r="C8" s="124">
        <f>91*'TAS Apr 2017'!M2/100</f>
        <v>82.628909999999991</v>
      </c>
      <c r="D8" s="124">
        <f>IF($C$5&gt;='TAS Apr 2017'!P2,('TAS Apr 2017'!P2*'TAS Apr 2017'!N2/100),('TAS Bills April 2017'!$C$5*'TAS Apr 2017'!N2/100))</f>
        <v>161.6</v>
      </c>
      <c r="E8" s="124">
        <v>0</v>
      </c>
      <c r="F8" s="125">
        <v>0</v>
      </c>
      <c r="G8" s="126">
        <v>0</v>
      </c>
      <c r="H8" s="127">
        <f>IF(($C$5&lt;'TAS Apr 2017'!P2),(0),('TAS Bills April 2017'!$C$5-'TAS Apr 2017'!P2)*'TAS Apr 2017'!Q2/100)</f>
        <v>1067.625</v>
      </c>
      <c r="I8" s="128">
        <f>SUM(C8:H8)</f>
        <v>1311.85391</v>
      </c>
      <c r="J8" s="129">
        <f>I8*4</f>
        <v>5247.4156400000002</v>
      </c>
      <c r="K8" s="123">
        <v>0</v>
      </c>
      <c r="L8" s="123">
        <f>'TAS Apr 2017'!AZ2</f>
        <v>0</v>
      </c>
      <c r="M8" s="123">
        <f>'TAS Apr 2017'!BA2</f>
        <v>0</v>
      </c>
      <c r="N8" s="123">
        <f>'TAS Apr 2017'!BB2</f>
        <v>0</v>
      </c>
      <c r="O8" s="129">
        <f>J8</f>
        <v>5247.4156400000002</v>
      </c>
      <c r="P8" s="129">
        <f>O8-(O8*M8/100)</f>
        <v>5247.4156400000002</v>
      </c>
      <c r="Q8" s="129">
        <f>O8*1.1</f>
        <v>5772.157204000001</v>
      </c>
      <c r="R8" s="129">
        <f>P8*1.1</f>
        <v>5772.157204000001</v>
      </c>
      <c r="S8" s="151">
        <f>'TAS Apr 2017'!BI2</f>
        <v>0</v>
      </c>
      <c r="T8" s="152" t="str">
        <f>'TAS Apr 2017'!BJ2</f>
        <v>n</v>
      </c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</row>
    <row r="9" spans="1:49" ht="15" thickBot="1" x14ac:dyDescent="0.2">
      <c r="A9" s="153" t="str">
        <f>'TAS Apr 2017'!K3</f>
        <v>ERM Power</v>
      </c>
      <c r="B9" s="160" t="str">
        <f>'TAS Apr 2017'!L3</f>
        <v>Adjustable</v>
      </c>
      <c r="C9" s="133">
        <f>91*'TAS Apr 2017'!M3/100</f>
        <v>80.989999999999995</v>
      </c>
      <c r="D9" s="133">
        <f>C5*'TAS Apr 2017'!N3/100</f>
        <v>1156</v>
      </c>
      <c r="E9" s="133">
        <v>0</v>
      </c>
      <c r="F9" s="134">
        <v>0</v>
      </c>
      <c r="G9" s="135">
        <v>0</v>
      </c>
      <c r="H9" s="136">
        <v>0</v>
      </c>
      <c r="I9" s="137">
        <f t="shared" ref="I9" si="0">SUM(C9:H9)</f>
        <v>1236.99</v>
      </c>
      <c r="J9" s="138">
        <f t="shared" ref="J9" si="1">I9*4</f>
        <v>4947.96</v>
      </c>
      <c r="K9" s="132">
        <v>0</v>
      </c>
      <c r="L9" s="132">
        <f>'TAS Apr 2017'!AZ3</f>
        <v>0</v>
      </c>
      <c r="M9" s="132">
        <f>'TAS Apr 2017'!BA3</f>
        <v>0</v>
      </c>
      <c r="N9" s="132">
        <f>'TAS Apr 2017'!BB3</f>
        <v>0</v>
      </c>
      <c r="O9" s="138">
        <f>J9-((I9-C9)*L9/100)*4</f>
        <v>4947.96</v>
      </c>
      <c r="P9" s="138">
        <f>O9-(O9*M9/100)</f>
        <v>4947.96</v>
      </c>
      <c r="Q9" s="138">
        <f>O9*1.1</f>
        <v>5442.7560000000003</v>
      </c>
      <c r="R9" s="138">
        <f>P9*1.1</f>
        <v>5442.7560000000003</v>
      </c>
      <c r="S9" s="154">
        <f>'TAS Apr 2017'!BI3</f>
        <v>0</v>
      </c>
      <c r="T9" s="155" t="str">
        <f>'TAS Apr 2017'!BJ3</f>
        <v>n</v>
      </c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</row>
    <row r="10" spans="1:49" s="88" customFormat="1" ht="14" x14ac:dyDescent="0.15"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</row>
    <row r="11" spans="1:49" s="88" customFormat="1" ht="15" thickBot="1" x14ac:dyDescent="0.2"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</row>
    <row r="12" spans="1:49" ht="14" x14ac:dyDescent="0.15">
      <c r="A12" s="62" t="s">
        <v>96</v>
      </c>
      <c r="B12" s="63"/>
      <c r="C12" s="63"/>
      <c r="D12" s="79"/>
      <c r="E12" s="79"/>
      <c r="F12" s="79"/>
      <c r="G12" s="79"/>
      <c r="H12" s="79"/>
      <c r="I12" s="80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5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</row>
    <row r="13" spans="1:49" ht="14" x14ac:dyDescent="0.15">
      <c r="A13" s="66" t="s">
        <v>79</v>
      </c>
      <c r="B13" s="64"/>
      <c r="C13" s="85">
        <v>5000</v>
      </c>
      <c r="D13" s="81"/>
      <c r="E13" s="81"/>
      <c r="F13" s="81"/>
      <c r="G13" s="81"/>
      <c r="H13" s="81"/>
      <c r="I13" s="82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7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</row>
    <row r="14" spans="1:49" ht="14" x14ac:dyDescent="0.15">
      <c r="A14" s="66" t="s">
        <v>97</v>
      </c>
      <c r="B14" s="64"/>
      <c r="C14" s="86">
        <v>0.7</v>
      </c>
      <c r="D14" s="81"/>
      <c r="E14" s="81"/>
      <c r="F14" s="81"/>
      <c r="G14" s="82"/>
      <c r="H14" s="82"/>
      <c r="I14" s="82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7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</row>
    <row r="15" spans="1:49" ht="14" x14ac:dyDescent="0.15">
      <c r="A15" s="66" t="s">
        <v>148</v>
      </c>
      <c r="B15" s="64"/>
      <c r="C15" s="86">
        <v>0.3</v>
      </c>
      <c r="D15" s="81"/>
      <c r="E15" s="81"/>
      <c r="F15" s="81"/>
      <c r="G15" s="82"/>
      <c r="H15" s="82"/>
      <c r="I15" s="82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7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</row>
    <row r="16" spans="1:49" ht="14" x14ac:dyDescent="0.15">
      <c r="A16" s="66"/>
      <c r="B16" s="64"/>
      <c r="C16" s="81"/>
      <c r="D16" s="81"/>
      <c r="E16" s="81"/>
      <c r="F16" s="81"/>
      <c r="G16" s="81"/>
      <c r="H16" s="81"/>
      <c r="I16" s="82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7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</row>
    <row r="17" spans="1:49" ht="75" x14ac:dyDescent="0.15">
      <c r="A17" s="146" t="s">
        <v>73</v>
      </c>
      <c r="B17" s="147" t="s">
        <v>80</v>
      </c>
      <c r="C17" s="141" t="s">
        <v>81</v>
      </c>
      <c r="D17" s="141" t="s">
        <v>82</v>
      </c>
      <c r="E17" s="141" t="s">
        <v>83</v>
      </c>
      <c r="F17" s="146" t="s">
        <v>84</v>
      </c>
      <c r="G17" s="147" t="s">
        <v>86</v>
      </c>
      <c r="H17" s="141" t="s">
        <v>96</v>
      </c>
      <c r="I17" s="141" t="s">
        <v>87</v>
      </c>
      <c r="J17" s="142" t="s">
        <v>61</v>
      </c>
      <c r="K17" s="143" t="s">
        <v>62</v>
      </c>
      <c r="L17" s="143" t="s">
        <v>63</v>
      </c>
      <c r="M17" s="143" t="s">
        <v>64</v>
      </c>
      <c r="N17" s="143" t="s">
        <v>65</v>
      </c>
      <c r="O17" s="149" t="s">
        <v>66</v>
      </c>
      <c r="P17" s="144" t="s">
        <v>67</v>
      </c>
      <c r="Q17" s="144" t="s">
        <v>25</v>
      </c>
      <c r="R17" s="144" t="s">
        <v>26</v>
      </c>
      <c r="S17" s="148" t="s">
        <v>68</v>
      </c>
      <c r="T17" s="158" t="s">
        <v>95</v>
      </c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</row>
    <row r="18" spans="1:49" ht="14" x14ac:dyDescent="0.15">
      <c r="A18" s="150" t="str">
        <f>'TAS Apr 2017'!K4</f>
        <v>Aurora Energy</v>
      </c>
      <c r="B18" s="159" t="str">
        <f>'TAS Apr 2017'!L4</f>
        <v>Regulated offer</v>
      </c>
      <c r="C18" s="124">
        <f>91*'TAS Apr 2017'!M4/100</f>
        <v>97.442800000000005</v>
      </c>
      <c r="D18" s="124">
        <f>IF(($C$13*$C$14)&gt;='TAS Apr 2017'!P4,('TAS Apr 2017'!P4*'TAS Apr 2017'!N4/100),(('TAS Bills April 2017'!$C$13*'TAS Bills April 2017'!$C$14)*'TAS Apr 2017'!N4/100))</f>
        <v>161.6</v>
      </c>
      <c r="E18" s="124">
        <v>0</v>
      </c>
      <c r="F18" s="125">
        <v>0</v>
      </c>
      <c r="G18" s="126">
        <f>IF($C$13*$C$14&lt;'TAS Apr 2017'!P4,(0),((('TAS Bills April 2017'!$C$13*'TAS Bills April 2017'!$C$14)-('TAS Apr 2017'!P4))*'TAS Apr 2017'!Q4/100))</f>
        <v>711.75</v>
      </c>
      <c r="H18" s="124">
        <f>($C$13*$C$15)*'TAS Apr 2017'!AF4/100</f>
        <v>214.35</v>
      </c>
      <c r="I18" s="128">
        <f>SUM(C18:H18)</f>
        <v>1185.1427999999999</v>
      </c>
      <c r="J18" s="129">
        <f>I18*4</f>
        <v>4740.5711999999994</v>
      </c>
      <c r="K18" s="123">
        <v>0</v>
      </c>
      <c r="L18" s="123">
        <f>'TAS Apr 2017'!AZ4</f>
        <v>0</v>
      </c>
      <c r="M18" s="123">
        <f>'TAS Apr 2017'!BA4</f>
        <v>0</v>
      </c>
      <c r="N18" s="123">
        <f>'TAS Apr 2017'!BB4</f>
        <v>0</v>
      </c>
      <c r="O18" s="129">
        <f>J18</f>
        <v>4740.5711999999994</v>
      </c>
      <c r="P18" s="129">
        <f>O18-(O18*M18/100)</f>
        <v>4740.5711999999994</v>
      </c>
      <c r="Q18" s="129">
        <f>O18*1.1</f>
        <v>5214.6283199999998</v>
      </c>
      <c r="R18" s="129">
        <f>P18*1.1</f>
        <v>5214.6283199999998</v>
      </c>
      <c r="S18" s="151">
        <f>'TAS Apr 2017'!BI4</f>
        <v>0</v>
      </c>
      <c r="T18" s="152" t="str">
        <f>'TAS Apr 2017'!BJ4</f>
        <v>n</v>
      </c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</row>
    <row r="19" spans="1:49" ht="15" thickBot="1" x14ac:dyDescent="0.2">
      <c r="A19" s="153" t="str">
        <f>'TAS Apr 2017'!K5</f>
        <v>ERM Power</v>
      </c>
      <c r="B19" s="160" t="str">
        <f>'TAS Apr 2017'!L5</f>
        <v>Adjustable</v>
      </c>
      <c r="C19" s="133">
        <f>91*'TAS Apr 2017'!M5/100</f>
        <v>139.22999999999999</v>
      </c>
      <c r="D19" s="133">
        <f>(C13*C14)*'TAS Apr 2017'!N5/100</f>
        <v>809.2</v>
      </c>
      <c r="E19" s="133">
        <v>0</v>
      </c>
      <c r="F19" s="134">
        <v>0</v>
      </c>
      <c r="G19" s="135">
        <v>0</v>
      </c>
      <c r="H19" s="133">
        <f>($C$13*$C$15)*'TAS Apr 2017'!AF5/100</f>
        <v>206.85</v>
      </c>
      <c r="I19" s="137">
        <f>SUM(C19:H19)</f>
        <v>1155.28</v>
      </c>
      <c r="J19" s="138">
        <f t="shared" ref="J19" si="2">I19*4</f>
        <v>4621.12</v>
      </c>
      <c r="K19" s="132">
        <v>0</v>
      </c>
      <c r="L19" s="132">
        <f>'TAS Apr 2017'!AZ5</f>
        <v>0</v>
      </c>
      <c r="M19" s="132">
        <f>'TAS Apr 2017'!BA5</f>
        <v>0</v>
      </c>
      <c r="N19" s="132">
        <f>'TAS Apr 2017'!BB5</f>
        <v>0</v>
      </c>
      <c r="O19" s="138">
        <f>J19-((I19-C19)*L19/100)*4</f>
        <v>4621.12</v>
      </c>
      <c r="P19" s="138">
        <f>O19-(O19*M19/100)</f>
        <v>4621.12</v>
      </c>
      <c r="Q19" s="138">
        <f>O19*1.1</f>
        <v>5083.232</v>
      </c>
      <c r="R19" s="138">
        <f>P19*1.1</f>
        <v>5083.232</v>
      </c>
      <c r="S19" s="154">
        <f>'TAS Apr 2017'!BI5</f>
        <v>0</v>
      </c>
      <c r="T19" s="155" t="str">
        <f>'TAS Apr 2017'!BJ5</f>
        <v>n</v>
      </c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</row>
    <row r="20" spans="1:49" s="88" customFormat="1" ht="14" x14ac:dyDescent="0.1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</row>
    <row r="21" spans="1:49" s="88" customFormat="1" ht="15" thickBot="1" x14ac:dyDescent="0.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90"/>
      <c r="P21" s="87"/>
      <c r="Q21" s="90"/>
      <c r="R21" s="90"/>
      <c r="S21" s="90"/>
      <c r="T21" s="87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</row>
    <row r="22" spans="1:49" ht="14" x14ac:dyDescent="0.15">
      <c r="A22" s="62" t="s">
        <v>69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</row>
    <row r="23" spans="1:49" ht="14" x14ac:dyDescent="0.15">
      <c r="A23" s="66" t="s">
        <v>22</v>
      </c>
      <c r="B23" s="64"/>
      <c r="C23" s="85">
        <v>5000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7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</row>
    <row r="24" spans="1:49" ht="14" x14ac:dyDescent="0.15">
      <c r="A24" s="66" t="s">
        <v>23</v>
      </c>
      <c r="B24" s="64"/>
      <c r="C24" s="86">
        <v>0.3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7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</row>
    <row r="25" spans="1:49" ht="14" x14ac:dyDescent="0.15">
      <c r="A25" s="66" t="s">
        <v>24</v>
      </c>
      <c r="B25" s="64"/>
      <c r="C25" s="86">
        <v>0.4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7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</row>
    <row r="26" spans="1:49" ht="14" x14ac:dyDescent="0.15">
      <c r="A26" s="66" t="s">
        <v>21</v>
      </c>
      <c r="B26" s="64"/>
      <c r="C26" s="86">
        <v>0.3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7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</row>
    <row r="27" spans="1:49" ht="14" x14ac:dyDescent="0.15">
      <c r="A27" s="66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7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</row>
    <row r="28" spans="1:49" ht="75" x14ac:dyDescent="0.15">
      <c r="A28" s="146" t="s">
        <v>35</v>
      </c>
      <c r="B28" s="147" t="s">
        <v>36</v>
      </c>
      <c r="C28" s="141" t="s">
        <v>27</v>
      </c>
      <c r="D28" s="141" t="s">
        <v>153</v>
      </c>
      <c r="E28" s="141" t="s">
        <v>83</v>
      </c>
      <c r="F28" s="141" t="s">
        <v>154</v>
      </c>
      <c r="G28" s="141" t="s">
        <v>155</v>
      </c>
      <c r="H28" s="141" t="s">
        <v>156</v>
      </c>
      <c r="I28" s="141" t="s">
        <v>87</v>
      </c>
      <c r="J28" s="142" t="s">
        <v>157</v>
      </c>
      <c r="K28" s="143" t="s">
        <v>94</v>
      </c>
      <c r="L28" s="143" t="s">
        <v>123</v>
      </c>
      <c r="M28" s="143" t="s">
        <v>124</v>
      </c>
      <c r="N28" s="143" t="s">
        <v>125</v>
      </c>
      <c r="O28" s="144" t="s">
        <v>158</v>
      </c>
      <c r="P28" s="144" t="s">
        <v>159</v>
      </c>
      <c r="Q28" s="144" t="s">
        <v>25</v>
      </c>
      <c r="R28" s="144" t="s">
        <v>26</v>
      </c>
      <c r="S28" s="143" t="s">
        <v>55</v>
      </c>
      <c r="T28" s="158" t="s">
        <v>160</v>
      </c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</row>
    <row r="29" spans="1:49" ht="14" x14ac:dyDescent="0.15">
      <c r="A29" s="150" t="str">
        <f>'TAS Apr 2017'!K6</f>
        <v>Aurora Energy</v>
      </c>
      <c r="B29" s="159" t="str">
        <f>'TAS Apr 2017'!L6</f>
        <v>Regulated offer</v>
      </c>
      <c r="C29" s="124">
        <f>91*'TAS Apr 2017'!M6/100</f>
        <v>89.503050000000002</v>
      </c>
      <c r="D29" s="156">
        <f>($C$23*$C$24)*'TAS Apr 2017'!N6/100</f>
        <v>387.63</v>
      </c>
      <c r="E29" s="124">
        <v>0</v>
      </c>
      <c r="F29" s="124">
        <v>0</v>
      </c>
      <c r="G29" s="124">
        <f>($C$23*$C$25)*'TAS Apr 2017'!AI6/100</f>
        <v>366.34</v>
      </c>
      <c r="H29" s="124">
        <f>($C$23*$C$26)*'TAS Apr 2017'!W6/100</f>
        <v>157.42499999999998</v>
      </c>
      <c r="I29" s="128">
        <f>SUM(C29:H29)</f>
        <v>1000.89805</v>
      </c>
      <c r="J29" s="129">
        <f>I29*4</f>
        <v>4003.5922</v>
      </c>
      <c r="K29" s="123">
        <v>0</v>
      </c>
      <c r="L29" s="123">
        <f>'TAS Apr 2017'!AZ6</f>
        <v>0</v>
      </c>
      <c r="M29" s="123">
        <f>'TAS Apr 2017'!BA6</f>
        <v>0</v>
      </c>
      <c r="N29" s="123">
        <f>'TAS Apr 2017'!BB6</f>
        <v>0</v>
      </c>
      <c r="O29" s="129">
        <f>J29</f>
        <v>4003.5922</v>
      </c>
      <c r="P29" s="129">
        <f>O29-(O29*M29/100)</f>
        <v>4003.5922</v>
      </c>
      <c r="Q29" s="129">
        <f>O29*1.1</f>
        <v>4403.9514200000003</v>
      </c>
      <c r="R29" s="129">
        <f>P29*1.1</f>
        <v>4403.9514200000003</v>
      </c>
      <c r="S29" s="151">
        <f>'TAS Apr 2017'!BI6</f>
        <v>0</v>
      </c>
      <c r="T29" s="152" t="str">
        <f>'TAS Apr 2017'!BJ6</f>
        <v>n</v>
      </c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</row>
    <row r="30" spans="1:49" ht="15" thickBot="1" x14ac:dyDescent="0.2">
      <c r="A30" s="153" t="str">
        <f>'TAS Apr 2017'!K7</f>
        <v>ERM Power</v>
      </c>
      <c r="B30" s="160" t="str">
        <f>'TAS Apr 2017'!L7</f>
        <v>Adjustable</v>
      </c>
      <c r="C30" s="133">
        <f>91*'TAS Apr 2017'!M7/100</f>
        <v>83.72</v>
      </c>
      <c r="D30" s="157">
        <f>($C$23*$C$24)*'TAS Apr 2017'!N7/100</f>
        <v>368.7</v>
      </c>
      <c r="E30" s="133">
        <v>0</v>
      </c>
      <c r="F30" s="133">
        <v>0</v>
      </c>
      <c r="G30" s="133">
        <f>($C$23*$C$25)*'TAS Apr 2017'!AI7/100</f>
        <v>322.99999999999994</v>
      </c>
      <c r="H30" s="133">
        <f>($C$23*$C$26)*'TAS Apr 2017'!W7/100</f>
        <v>128.1</v>
      </c>
      <c r="I30" s="137">
        <f>SUM(C30:H30)</f>
        <v>903.51999999999987</v>
      </c>
      <c r="J30" s="138">
        <f t="shared" ref="J30" si="3">I30*4</f>
        <v>3614.0799999999995</v>
      </c>
      <c r="K30" s="132">
        <v>0</v>
      </c>
      <c r="L30" s="132">
        <f>'TAS Apr 2017'!AZ7</f>
        <v>0</v>
      </c>
      <c r="M30" s="132">
        <f>'TAS Apr 2017'!BA7</f>
        <v>0</v>
      </c>
      <c r="N30" s="132">
        <f>'TAS Apr 2017'!BB7</f>
        <v>0</v>
      </c>
      <c r="O30" s="138">
        <f>J30-((I30-C30)*L30/100)*4</f>
        <v>3614.0799999999995</v>
      </c>
      <c r="P30" s="138">
        <f>O30-(O30*M30/100)</f>
        <v>3614.0799999999995</v>
      </c>
      <c r="Q30" s="138">
        <f>O30*1.1</f>
        <v>3975.4879999999998</v>
      </c>
      <c r="R30" s="138">
        <f>P30*1.1</f>
        <v>3975.4879999999998</v>
      </c>
      <c r="S30" s="154">
        <f>'TAS Apr 2017'!BI7</f>
        <v>0</v>
      </c>
      <c r="T30" s="155" t="str">
        <f>'TAS Apr 2017'!BJ7</f>
        <v>n</v>
      </c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</row>
    <row r="31" spans="1:49" s="88" customFormat="1" ht="14" x14ac:dyDescent="0.1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</row>
    <row r="32" spans="1:49" s="88" customFormat="1" ht="14" x14ac:dyDescent="0.1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92"/>
      <c r="P32" s="92"/>
      <c r="Q32" s="92"/>
      <c r="R32" s="92"/>
      <c r="S32" s="92"/>
      <c r="T32" s="87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</row>
    <row r="33" spans="1:49" s="88" customFormat="1" ht="14" x14ac:dyDescent="0.1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92"/>
      <c r="P33" s="92"/>
      <c r="Q33" s="92"/>
      <c r="R33" s="92"/>
      <c r="S33" s="92"/>
      <c r="T33" s="87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</row>
    <row r="34" spans="1:49" s="88" customFormat="1" ht="14" x14ac:dyDescent="0.15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92"/>
      <c r="P34" s="92"/>
      <c r="Q34" s="92"/>
      <c r="R34" s="92"/>
      <c r="S34" s="92"/>
      <c r="T34" s="87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</row>
    <row r="35" spans="1:49" s="88" customFormat="1" ht="14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92"/>
      <c r="P35" s="92"/>
      <c r="Q35" s="92"/>
      <c r="R35" s="92"/>
      <c r="S35" s="92"/>
      <c r="T35" s="87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</row>
    <row r="36" spans="1:49" s="88" customFormat="1" ht="14" x14ac:dyDescent="0.1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92"/>
      <c r="P36" s="92"/>
      <c r="Q36" s="92"/>
      <c r="R36" s="92"/>
      <c r="S36" s="92"/>
      <c r="T36" s="87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</row>
    <row r="37" spans="1:49" s="88" customFormat="1" ht="14" x14ac:dyDescent="0.1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92"/>
      <c r="P37" s="92"/>
      <c r="Q37" s="92"/>
      <c r="R37" s="92"/>
      <c r="S37" s="92"/>
      <c r="T37" s="87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</row>
    <row r="38" spans="1:49" s="88" customFormat="1" ht="14" x14ac:dyDescent="0.1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92"/>
      <c r="P38" s="92"/>
      <c r="Q38" s="92"/>
      <c r="R38" s="92"/>
      <c r="S38" s="92"/>
      <c r="T38" s="87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</row>
    <row r="39" spans="1:49" s="88" customFormat="1" ht="14" x14ac:dyDescent="0.1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92"/>
      <c r="P39" s="92"/>
      <c r="Q39" s="92"/>
      <c r="R39" s="92"/>
      <c r="S39" s="92"/>
      <c r="T39" s="87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</row>
    <row r="40" spans="1:49" s="88" customFormat="1" ht="14" x14ac:dyDescent="0.15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92"/>
      <c r="P40" s="92"/>
      <c r="Q40" s="92"/>
      <c r="R40" s="92"/>
      <c r="S40" s="92"/>
      <c r="T40" s="87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</row>
    <row r="41" spans="1:49" s="88" customFormat="1" ht="14" x14ac:dyDescent="0.1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92"/>
      <c r="P41" s="92"/>
      <c r="Q41" s="92"/>
      <c r="R41" s="92"/>
      <c r="S41" s="92"/>
      <c r="T41" s="87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</row>
    <row r="42" spans="1:49" s="88" customFormat="1" ht="14" x14ac:dyDescent="0.15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92"/>
      <c r="P42" s="92"/>
      <c r="Q42" s="92"/>
      <c r="R42" s="92"/>
      <c r="S42" s="92"/>
      <c r="T42" s="87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</row>
    <row r="43" spans="1:49" s="88" customFormat="1" ht="14" x14ac:dyDescent="0.1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92"/>
      <c r="P43" s="92"/>
      <c r="Q43" s="92"/>
      <c r="R43" s="92"/>
      <c r="S43" s="92"/>
      <c r="T43" s="87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</row>
    <row r="44" spans="1:49" s="88" customFormat="1" ht="14" x14ac:dyDescent="0.1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92"/>
      <c r="P44" s="92"/>
      <c r="Q44" s="92"/>
      <c r="R44" s="92"/>
      <c r="S44" s="92"/>
      <c r="T44" s="87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</row>
    <row r="45" spans="1:49" s="88" customFormat="1" ht="14" x14ac:dyDescent="0.1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92"/>
      <c r="P45" s="92"/>
      <c r="Q45" s="92"/>
      <c r="R45" s="92"/>
      <c r="S45" s="92"/>
      <c r="T45" s="87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</row>
    <row r="46" spans="1:49" s="88" customFormat="1" ht="14" x14ac:dyDescent="0.15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92"/>
      <c r="P46" s="92"/>
      <c r="Q46" s="92"/>
      <c r="R46" s="92"/>
      <c r="S46" s="92"/>
      <c r="T46" s="87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</row>
    <row r="47" spans="1:49" s="88" customFormat="1" ht="14" x14ac:dyDescent="0.1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92"/>
      <c r="P47" s="92"/>
      <c r="Q47" s="92"/>
      <c r="R47" s="92"/>
      <c r="S47" s="92"/>
      <c r="T47" s="87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</row>
    <row r="48" spans="1:49" s="88" customFormat="1" ht="14" x14ac:dyDescent="0.15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92"/>
      <c r="P48" s="92"/>
      <c r="Q48" s="92"/>
      <c r="R48" s="92"/>
      <c r="S48" s="92"/>
      <c r="T48" s="87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</row>
    <row r="49" spans="1:49" s="88" customFormat="1" ht="14" x14ac:dyDescent="0.15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92"/>
      <c r="P49" s="92"/>
      <c r="Q49" s="92"/>
      <c r="R49" s="92"/>
      <c r="S49" s="92"/>
      <c r="T49" s="87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</row>
    <row r="50" spans="1:49" s="88" customFormat="1" ht="14" x14ac:dyDescent="0.15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92"/>
      <c r="P50" s="92"/>
      <c r="Q50" s="92"/>
      <c r="R50" s="92"/>
      <c r="S50" s="92"/>
      <c r="T50" s="87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</row>
    <row r="51" spans="1:49" s="88" customFormat="1" ht="14" x14ac:dyDescent="0.1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92"/>
      <c r="P51" s="92"/>
      <c r="Q51" s="92"/>
      <c r="R51" s="92"/>
      <c r="S51" s="92"/>
      <c r="T51" s="87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</row>
    <row r="52" spans="1:49" s="88" customFormat="1" ht="14" x14ac:dyDescent="0.1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92"/>
      <c r="P52" s="92"/>
      <c r="Q52" s="92"/>
      <c r="R52" s="92"/>
      <c r="S52" s="92"/>
      <c r="T52" s="87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</row>
    <row r="53" spans="1:49" s="88" customFormat="1" ht="14" x14ac:dyDescent="0.1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92"/>
      <c r="P53" s="92"/>
      <c r="Q53" s="92"/>
      <c r="R53" s="92"/>
      <c r="S53" s="92"/>
      <c r="T53" s="87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</row>
    <row r="54" spans="1:49" s="88" customFormat="1" ht="14" x14ac:dyDescent="0.1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92"/>
      <c r="P54" s="92"/>
      <c r="Q54" s="92"/>
      <c r="R54" s="92"/>
      <c r="S54" s="92"/>
      <c r="T54" s="87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</row>
    <row r="55" spans="1:49" s="88" customFormat="1" ht="14" x14ac:dyDescent="0.1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92"/>
      <c r="P55" s="92"/>
      <c r="Q55" s="92"/>
      <c r="R55" s="92"/>
      <c r="S55" s="92"/>
      <c r="T55" s="87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</row>
    <row r="56" spans="1:49" s="88" customFormat="1" ht="14" x14ac:dyDescent="0.15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92"/>
      <c r="P56" s="92"/>
      <c r="Q56" s="92"/>
      <c r="R56" s="92"/>
      <c r="S56" s="92"/>
      <c r="T56" s="87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</row>
    <row r="57" spans="1:49" s="88" customFormat="1" ht="14" x14ac:dyDescent="0.1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92"/>
      <c r="P57" s="92"/>
      <c r="Q57" s="92"/>
      <c r="R57" s="92"/>
      <c r="S57" s="92"/>
      <c r="T57" s="87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</row>
    <row r="58" spans="1:49" s="88" customFormat="1" ht="14" x14ac:dyDescent="0.1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92"/>
      <c r="P58" s="92"/>
      <c r="Q58" s="92"/>
      <c r="R58" s="92"/>
      <c r="S58" s="92"/>
      <c r="T58" s="87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</row>
    <row r="59" spans="1:49" s="88" customFormat="1" ht="14" x14ac:dyDescent="0.15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92"/>
      <c r="P59" s="92"/>
      <c r="Q59" s="92"/>
      <c r="R59" s="92"/>
      <c r="S59" s="92"/>
      <c r="T59" s="87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</row>
    <row r="60" spans="1:49" s="88" customFormat="1" ht="14" x14ac:dyDescent="0.1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92"/>
      <c r="P60" s="92"/>
      <c r="Q60" s="92"/>
      <c r="R60" s="92"/>
      <c r="S60" s="92"/>
      <c r="T60" s="87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</row>
    <row r="61" spans="1:49" s="88" customFormat="1" ht="14" x14ac:dyDescent="0.1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92"/>
      <c r="P61" s="92"/>
      <c r="Q61" s="92"/>
      <c r="R61" s="92"/>
      <c r="S61" s="92"/>
      <c r="T61" s="87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</row>
    <row r="62" spans="1:49" s="88" customFormat="1" ht="14" x14ac:dyDescent="0.1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92"/>
      <c r="P62" s="92"/>
      <c r="Q62" s="92"/>
      <c r="R62" s="92"/>
      <c r="S62" s="92"/>
      <c r="T62" s="87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</row>
    <row r="63" spans="1:49" s="88" customFormat="1" ht="14" x14ac:dyDescent="0.1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92"/>
      <c r="P63" s="92"/>
      <c r="Q63" s="92"/>
      <c r="R63" s="92"/>
      <c r="S63" s="92"/>
      <c r="T63" s="87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</row>
    <row r="64" spans="1:49" s="88" customFormat="1" ht="14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92"/>
      <c r="P64" s="92"/>
      <c r="Q64" s="92"/>
      <c r="R64" s="92"/>
      <c r="S64" s="92"/>
      <c r="T64" s="87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</row>
    <row r="65" spans="1:49" s="88" customFormat="1" ht="14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92"/>
      <c r="P65" s="92"/>
      <c r="Q65" s="92"/>
      <c r="R65" s="92"/>
      <c r="S65" s="92"/>
      <c r="T65" s="87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</row>
    <row r="66" spans="1:49" s="88" customFormat="1" ht="14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92"/>
      <c r="P66" s="92"/>
      <c r="Q66" s="92"/>
      <c r="R66" s="92"/>
      <c r="S66" s="92"/>
      <c r="T66" s="87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</row>
    <row r="67" spans="1:49" s="88" customFormat="1" ht="14" x14ac:dyDescent="0.1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92"/>
      <c r="P67" s="92"/>
      <c r="Q67" s="92"/>
      <c r="R67" s="92"/>
      <c r="S67" s="92"/>
      <c r="T67" s="87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</row>
    <row r="68" spans="1:49" s="88" customFormat="1" ht="14" x14ac:dyDescent="0.1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92"/>
      <c r="P68" s="92"/>
      <c r="Q68" s="92"/>
      <c r="R68" s="92"/>
      <c r="S68" s="92"/>
      <c r="T68" s="87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</row>
    <row r="69" spans="1:49" s="88" customFormat="1" ht="14" x14ac:dyDescent="0.1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92"/>
      <c r="P69" s="92"/>
      <c r="Q69" s="92"/>
      <c r="R69" s="92"/>
      <c r="S69" s="92"/>
      <c r="T69" s="87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</row>
    <row r="70" spans="1:49" s="88" customFormat="1" ht="14" x14ac:dyDescent="0.1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92"/>
      <c r="P70" s="92"/>
      <c r="Q70" s="92"/>
      <c r="R70" s="92"/>
      <c r="S70" s="92"/>
      <c r="T70" s="87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</row>
    <row r="71" spans="1:49" s="88" customFormat="1" ht="14" x14ac:dyDescent="0.1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92"/>
      <c r="P71" s="92"/>
      <c r="Q71" s="92"/>
      <c r="R71" s="92"/>
      <c r="S71" s="92"/>
      <c r="T71" s="87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</row>
    <row r="72" spans="1:49" s="88" customFormat="1" ht="14" x14ac:dyDescent="0.15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92"/>
      <c r="P72" s="92"/>
      <c r="Q72" s="92"/>
      <c r="R72" s="92"/>
      <c r="S72" s="92"/>
      <c r="T72" s="87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</row>
    <row r="73" spans="1:49" s="88" customFormat="1" ht="14" x14ac:dyDescent="0.15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92"/>
      <c r="P73" s="92"/>
      <c r="Q73" s="92"/>
      <c r="R73" s="92"/>
      <c r="S73" s="92"/>
      <c r="T73" s="87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</row>
    <row r="74" spans="1:49" s="88" customFormat="1" ht="14" x14ac:dyDescent="0.1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92"/>
      <c r="P74" s="92"/>
      <c r="Q74" s="92"/>
      <c r="R74" s="92"/>
      <c r="S74" s="92"/>
      <c r="T74" s="87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</row>
    <row r="75" spans="1:49" s="88" customFormat="1" x14ac:dyDescent="0.15"/>
    <row r="76" spans="1:49" s="88" customFormat="1" x14ac:dyDescent="0.15"/>
    <row r="77" spans="1:49" s="88" customFormat="1" x14ac:dyDescent="0.15"/>
    <row r="78" spans="1:49" s="88" customFormat="1" x14ac:dyDescent="0.15"/>
    <row r="79" spans="1:49" s="88" customFormat="1" x14ac:dyDescent="0.15"/>
    <row r="80" spans="1:49" s="88" customFormat="1" x14ac:dyDescent="0.15"/>
    <row r="81" s="88" customFormat="1" x14ac:dyDescent="0.15"/>
    <row r="82" s="88" customFormat="1" x14ac:dyDescent="0.15"/>
    <row r="83" s="88" customFormat="1" x14ac:dyDescent="0.15"/>
    <row r="84" s="88" customFormat="1" x14ac:dyDescent="0.15"/>
    <row r="85" s="88" customFormat="1" x14ac:dyDescent="0.15"/>
    <row r="86" s="88" customFormat="1" x14ac:dyDescent="0.15"/>
    <row r="87" s="88" customFormat="1" x14ac:dyDescent="0.15"/>
    <row r="88" s="88" customFormat="1" x14ac:dyDescent="0.15"/>
    <row r="89" s="88" customFormat="1" x14ac:dyDescent="0.15"/>
    <row r="90" s="88" customFormat="1" x14ac:dyDescent="0.15"/>
    <row r="91" s="88" customFormat="1" x14ac:dyDescent="0.15"/>
    <row r="92" s="88" customFormat="1" x14ac:dyDescent="0.15"/>
    <row r="93" s="88" customFormat="1" x14ac:dyDescent="0.15"/>
    <row r="94" s="88" customFormat="1" x14ac:dyDescent="0.15"/>
    <row r="95" s="88" customFormat="1" x14ac:dyDescent="0.15"/>
    <row r="96" s="88" customFormat="1" x14ac:dyDescent="0.15"/>
    <row r="97" s="88" customFormat="1" x14ac:dyDescent="0.15"/>
    <row r="98" s="88" customFormat="1" x14ac:dyDescent="0.15"/>
    <row r="99" s="88" customFormat="1" x14ac:dyDescent="0.15"/>
    <row r="100" s="88" customFormat="1" x14ac:dyDescent="0.15"/>
    <row r="101" s="88" customFormat="1" x14ac:dyDescent="0.15"/>
    <row r="102" s="88" customFormat="1" x14ac:dyDescent="0.15"/>
    <row r="103" s="88" customFormat="1" x14ac:dyDescent="0.15"/>
    <row r="104" s="88" customFormat="1" x14ac:dyDescent="0.15"/>
    <row r="105" s="88" customFormat="1" x14ac:dyDescent="0.15"/>
    <row r="106" s="88" customFormat="1" x14ac:dyDescent="0.15"/>
    <row r="107" s="88" customFormat="1" x14ac:dyDescent="0.15"/>
    <row r="108" s="88" customFormat="1" x14ac:dyDescent="0.15"/>
    <row r="109" s="88" customFormat="1" x14ac:dyDescent="0.15"/>
    <row r="110" s="88" customFormat="1" x14ac:dyDescent="0.15"/>
    <row r="111" s="88" customFormat="1" x14ac:dyDescent="0.15"/>
    <row r="112" s="88" customFormat="1" x14ac:dyDescent="0.15"/>
    <row r="113" s="88" customFormat="1" x14ac:dyDescent="0.15"/>
    <row r="114" s="88" customFormat="1" x14ac:dyDescent="0.15"/>
    <row r="115" s="88" customFormat="1" x14ac:dyDescent="0.15"/>
    <row r="116" s="88" customFormat="1" x14ac:dyDescent="0.15"/>
    <row r="117" s="88" customFormat="1" x14ac:dyDescent="0.15"/>
    <row r="118" s="88" customFormat="1" x14ac:dyDescent="0.15"/>
    <row r="119" s="88" customFormat="1" x14ac:dyDescent="0.15"/>
    <row r="120" s="88" customFormat="1" x14ac:dyDescent="0.15"/>
    <row r="121" s="88" customFormat="1" x14ac:dyDescent="0.15"/>
    <row r="122" s="88" customFormat="1" x14ac:dyDescent="0.15"/>
    <row r="123" s="88" customFormat="1" x14ac:dyDescent="0.15"/>
    <row r="124" s="88" customFormat="1" x14ac:dyDescent="0.15"/>
    <row r="125" s="88" customFormat="1" x14ac:dyDescent="0.15"/>
    <row r="126" s="88" customFormat="1" x14ac:dyDescent="0.15"/>
    <row r="127" s="88" customFormat="1" x14ac:dyDescent="0.15"/>
    <row r="128" s="88" customFormat="1" x14ac:dyDescent="0.15"/>
    <row r="129" s="88" customFormat="1" x14ac:dyDescent="0.15"/>
    <row r="130" s="88" customFormat="1" x14ac:dyDescent="0.15"/>
    <row r="131" s="88" customFormat="1" x14ac:dyDescent="0.15"/>
    <row r="132" s="88" customFormat="1" x14ac:dyDescent="0.15"/>
    <row r="133" s="88" customFormat="1" x14ac:dyDescent="0.15"/>
    <row r="134" s="88" customFormat="1" x14ac:dyDescent="0.15"/>
    <row r="135" s="88" customFormat="1" x14ac:dyDescent="0.15"/>
    <row r="136" s="88" customFormat="1" x14ac:dyDescent="0.15"/>
    <row r="137" s="88" customFormat="1" x14ac:dyDescent="0.15"/>
    <row r="138" s="88" customFormat="1" x14ac:dyDescent="0.15"/>
    <row r="139" s="88" customFormat="1" x14ac:dyDescent="0.15"/>
    <row r="140" s="88" customFormat="1" x14ac:dyDescent="0.15"/>
    <row r="141" s="88" customFormat="1" x14ac:dyDescent="0.15"/>
    <row r="142" s="88" customFormat="1" x14ac:dyDescent="0.15"/>
    <row r="143" s="88" customFormat="1" x14ac:dyDescent="0.15"/>
    <row r="144" s="88" customFormat="1" x14ac:dyDescent="0.15"/>
    <row r="145" s="88" customFormat="1" x14ac:dyDescent="0.15"/>
    <row r="146" s="88" customFormat="1" x14ac:dyDescent="0.15"/>
    <row r="147" s="88" customFormat="1" x14ac:dyDescent="0.15"/>
    <row r="148" s="88" customFormat="1" x14ac:dyDescent="0.15"/>
    <row r="149" s="88" customFormat="1" x14ac:dyDescent="0.15"/>
    <row r="150" s="88" customFormat="1" x14ac:dyDescent="0.15"/>
    <row r="151" s="88" customFormat="1" x14ac:dyDescent="0.15"/>
    <row r="152" s="88" customFormat="1" x14ac:dyDescent="0.15"/>
    <row r="153" s="88" customFormat="1" x14ac:dyDescent="0.15"/>
    <row r="154" s="88" customFormat="1" x14ac:dyDescent="0.15"/>
    <row r="155" s="88" customFormat="1" x14ac:dyDescent="0.15"/>
    <row r="156" s="88" customFormat="1" x14ac:dyDescent="0.15"/>
    <row r="157" s="88" customFormat="1" x14ac:dyDescent="0.15"/>
    <row r="158" s="88" customFormat="1" x14ac:dyDescent="0.15"/>
    <row r="159" s="88" customFormat="1" x14ac:dyDescent="0.15"/>
    <row r="160" s="88" customFormat="1" x14ac:dyDescent="0.15"/>
    <row r="161" s="88" customFormat="1" x14ac:dyDescent="0.15"/>
    <row r="162" s="88" customFormat="1" x14ac:dyDescent="0.15"/>
    <row r="163" s="88" customFormat="1" x14ac:dyDescent="0.15"/>
    <row r="164" s="88" customFormat="1" x14ac:dyDescent="0.15"/>
    <row r="165" s="88" customFormat="1" x14ac:dyDescent="0.15"/>
    <row r="166" s="88" customFormat="1" x14ac:dyDescent="0.15"/>
    <row r="167" s="88" customFormat="1" x14ac:dyDescent="0.15"/>
    <row r="168" s="88" customFormat="1" x14ac:dyDescent="0.15"/>
    <row r="169" s="88" customFormat="1" x14ac:dyDescent="0.15"/>
    <row r="170" s="88" customFormat="1" x14ac:dyDescent="0.15"/>
    <row r="171" s="88" customFormat="1" x14ac:dyDescent="0.15"/>
    <row r="172" s="88" customFormat="1" x14ac:dyDescent="0.15"/>
    <row r="173" s="88" customFormat="1" x14ac:dyDescent="0.15"/>
    <row r="174" s="88" customFormat="1" x14ac:dyDescent="0.15"/>
    <row r="175" s="88" customFormat="1" x14ac:dyDescent="0.15"/>
    <row r="176" s="88" customFormat="1" x14ac:dyDescent="0.15"/>
    <row r="177" s="88" customFormat="1" x14ac:dyDescent="0.15"/>
    <row r="178" s="88" customFormat="1" x14ac:dyDescent="0.15"/>
    <row r="179" s="88" customFormat="1" x14ac:dyDescent="0.15"/>
    <row r="180" s="88" customFormat="1" x14ac:dyDescent="0.15"/>
    <row r="181" s="88" customFormat="1" x14ac:dyDescent="0.15"/>
    <row r="182" s="88" customFormat="1" x14ac:dyDescent="0.15"/>
    <row r="183" s="88" customFormat="1" x14ac:dyDescent="0.15"/>
    <row r="184" s="88" customFormat="1" x14ac:dyDescent="0.15"/>
    <row r="185" s="88" customFormat="1" x14ac:dyDescent="0.15"/>
    <row r="186" s="88" customFormat="1" x14ac:dyDescent="0.15"/>
    <row r="187" s="88" customFormat="1" x14ac:dyDescent="0.15"/>
    <row r="188" s="88" customFormat="1" x14ac:dyDescent="0.15"/>
    <row r="189" s="88" customFormat="1" x14ac:dyDescent="0.15"/>
    <row r="190" s="88" customFormat="1" x14ac:dyDescent="0.15"/>
    <row r="191" s="88" customFormat="1" x14ac:dyDescent="0.15"/>
    <row r="192" s="88" customFormat="1" x14ac:dyDescent="0.15"/>
    <row r="193" s="88" customFormat="1" x14ac:dyDescent="0.15"/>
    <row r="194" s="88" customFormat="1" x14ac:dyDescent="0.15"/>
    <row r="195" s="88" customFormat="1" x14ac:dyDescent="0.15"/>
    <row r="196" s="88" customFormat="1" x14ac:dyDescent="0.15"/>
    <row r="197" s="88" customFormat="1" x14ac:dyDescent="0.15"/>
    <row r="198" s="88" customFormat="1" x14ac:dyDescent="0.15"/>
    <row r="199" s="88" customFormat="1" x14ac:dyDescent="0.15"/>
    <row r="200" s="88" customFormat="1" x14ac:dyDescent="0.15"/>
    <row r="201" s="88" customFormat="1" x14ac:dyDescent="0.15"/>
    <row r="202" s="88" customFormat="1" x14ac:dyDescent="0.15"/>
    <row r="203" s="88" customFormat="1" x14ac:dyDescent="0.15"/>
    <row r="204" s="88" customFormat="1" x14ac:dyDescent="0.15"/>
    <row r="205" s="88" customFormat="1" x14ac:dyDescent="0.15"/>
    <row r="206" s="88" customFormat="1" x14ac:dyDescent="0.15"/>
    <row r="207" s="88" customFormat="1" x14ac:dyDescent="0.15"/>
    <row r="208" s="88" customFormat="1" x14ac:dyDescent="0.15"/>
    <row r="209" s="88" customFormat="1" x14ac:dyDescent="0.15"/>
    <row r="210" s="88" customFormat="1" x14ac:dyDescent="0.15"/>
    <row r="211" s="88" customFormat="1" x14ac:dyDescent="0.15"/>
    <row r="212" s="88" customFormat="1" x14ac:dyDescent="0.15"/>
    <row r="213" s="88" customFormat="1" x14ac:dyDescent="0.15"/>
    <row r="214" s="88" customFormat="1" x14ac:dyDescent="0.15"/>
    <row r="215" s="88" customFormat="1" x14ac:dyDescent="0.15"/>
    <row r="216" s="88" customFormat="1" x14ac:dyDescent="0.15"/>
    <row r="217" s="88" customFormat="1" x14ac:dyDescent="0.15"/>
    <row r="218" s="88" customFormat="1" x14ac:dyDescent="0.15"/>
    <row r="219" s="88" customFormat="1" x14ac:dyDescent="0.15"/>
    <row r="220" s="88" customFormat="1" x14ac:dyDescent="0.15"/>
    <row r="221" s="88" customFormat="1" x14ac:dyDescent="0.15"/>
    <row r="222" s="88" customFormat="1" x14ac:dyDescent="0.15"/>
    <row r="223" s="88" customFormat="1" x14ac:dyDescent="0.15"/>
    <row r="224" s="88" customFormat="1" x14ac:dyDescent="0.15"/>
    <row r="225" s="88" customFormat="1" x14ac:dyDescent="0.15"/>
    <row r="226" s="88" customFormat="1" x14ac:dyDescent="0.15"/>
    <row r="227" s="88" customFormat="1" x14ac:dyDescent="0.15"/>
    <row r="228" s="88" customFormat="1" x14ac:dyDescent="0.15"/>
    <row r="229" s="88" customFormat="1" x14ac:dyDescent="0.15"/>
    <row r="230" s="88" customFormat="1" x14ac:dyDescent="0.15"/>
    <row r="231" s="88" customFormat="1" x14ac:dyDescent="0.15"/>
    <row r="232" s="88" customFormat="1" x14ac:dyDescent="0.15"/>
    <row r="233" s="88" customFormat="1" x14ac:dyDescent="0.15"/>
    <row r="234" s="88" customFormat="1" x14ac:dyDescent="0.15"/>
    <row r="235" s="88" customFormat="1" x14ac:dyDescent="0.15"/>
    <row r="236" s="88" customFormat="1" x14ac:dyDescent="0.15"/>
    <row r="237" s="88" customFormat="1" x14ac:dyDescent="0.15"/>
    <row r="238" s="88" customFormat="1" x14ac:dyDescent="0.15"/>
    <row r="239" s="88" customFormat="1" x14ac:dyDescent="0.15"/>
    <row r="240" s="88" customFormat="1" x14ac:dyDescent="0.15"/>
    <row r="241" s="88" customFormat="1" x14ac:dyDescent="0.15"/>
    <row r="242" s="88" customFormat="1" x14ac:dyDescent="0.15"/>
    <row r="243" s="88" customFormat="1" x14ac:dyDescent="0.15"/>
    <row r="244" s="88" customFormat="1" x14ac:dyDescent="0.15"/>
    <row r="245" s="88" customFormat="1" x14ac:dyDescent="0.15"/>
    <row r="246" s="88" customFormat="1" x14ac:dyDescent="0.15"/>
    <row r="247" s="88" customFormat="1" x14ac:dyDescent="0.15"/>
    <row r="248" s="88" customFormat="1" x14ac:dyDescent="0.15"/>
    <row r="249" s="88" customFormat="1" x14ac:dyDescent="0.15"/>
    <row r="250" s="88" customFormat="1" x14ac:dyDescent="0.15"/>
    <row r="251" s="88" customFormat="1" x14ac:dyDescent="0.15"/>
    <row r="252" s="88" customFormat="1" x14ac:dyDescent="0.15"/>
    <row r="253" s="88" customFormat="1" x14ac:dyDescent="0.15"/>
    <row r="254" s="88" customFormat="1" x14ac:dyDescent="0.15"/>
    <row r="255" s="88" customFormat="1" x14ac:dyDescent="0.15"/>
    <row r="256" s="88" customFormat="1" x14ac:dyDescent="0.15"/>
    <row r="257" s="88" customFormat="1" x14ac:dyDescent="0.15"/>
    <row r="258" s="88" customFormat="1" x14ac:dyDescent="0.15"/>
    <row r="259" s="88" customFormat="1" x14ac:dyDescent="0.15"/>
    <row r="260" s="88" customFormat="1" x14ac:dyDescent="0.15"/>
    <row r="261" s="88" customFormat="1" x14ac:dyDescent="0.15"/>
    <row r="262" s="88" customFormat="1" x14ac:dyDescent="0.15"/>
    <row r="263" s="88" customFormat="1" x14ac:dyDescent="0.15"/>
    <row r="264" s="88" customFormat="1" x14ac:dyDescent="0.15"/>
    <row r="265" s="88" customFormat="1" x14ac:dyDescent="0.15"/>
    <row r="266" s="88" customFormat="1" x14ac:dyDescent="0.15"/>
    <row r="267" s="88" customFormat="1" x14ac:dyDescent="0.15"/>
    <row r="268" s="88" customFormat="1" x14ac:dyDescent="0.15"/>
    <row r="269" s="88" customFormat="1" x14ac:dyDescent="0.15"/>
    <row r="270" s="88" customFormat="1" x14ac:dyDescent="0.15"/>
    <row r="271" s="88" customFormat="1" x14ac:dyDescent="0.15"/>
    <row r="272" s="88" customFormat="1" x14ac:dyDescent="0.15"/>
    <row r="273" s="88" customFormat="1" x14ac:dyDescent="0.15"/>
    <row r="274" s="88" customFormat="1" x14ac:dyDescent="0.15"/>
    <row r="275" s="88" customFormat="1" x14ac:dyDescent="0.15"/>
  </sheetData>
  <sheetProtection algorithmName="SHA-512" hashValue="bihiEYaNu/GbwyJBGd1LQ0mKxGZ8s4Tp9BSBh2mKi52LN/cnTm3Inmfb4TSZDsmfEjGtmfh/tt7ehX3G4lkZog==" saltValue="GMJlEDMqkKdU9wWeS+rYzQ==" spinCount="100000" sheet="1" objects="1" scenarios="1"/>
  <phoneticPr fontId="2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19E7-F202-7647-B131-B53C2BE90A47}">
  <sheetPr codeName="Sheet27"/>
  <dimension ref="A1:BY12"/>
  <sheetViews>
    <sheetView zoomScale="90" zoomScaleNormal="90" zoomScalePageLayoutView="125" workbookViewId="0">
      <selection activeCell="AA49" sqref="AA49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5" width="11.33203125" customWidth="1"/>
    <col min="76" max="76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111</v>
      </c>
      <c r="AO1" s="18" t="s">
        <v>112</v>
      </c>
      <c r="AP1" s="18" t="s">
        <v>113</v>
      </c>
      <c r="AQ1" s="19" t="s">
        <v>114</v>
      </c>
      <c r="AR1" s="20" t="s">
        <v>115</v>
      </c>
      <c r="AS1" s="20" t="s">
        <v>88</v>
      </c>
      <c r="AT1" s="21" t="s">
        <v>89</v>
      </c>
      <c r="AU1" s="22" t="s">
        <v>90</v>
      </c>
      <c r="AV1" s="23" t="s">
        <v>91</v>
      </c>
      <c r="AW1" s="22"/>
      <c r="AX1" s="22"/>
      <c r="AY1" s="22"/>
      <c r="AZ1" s="24" t="s">
        <v>92</v>
      </c>
      <c r="BA1" s="25" t="s">
        <v>93</v>
      </c>
      <c r="BB1" s="26" t="s">
        <v>94</v>
      </c>
      <c r="BC1" s="27" t="s">
        <v>123</v>
      </c>
      <c r="BD1" s="28" t="s">
        <v>124</v>
      </c>
      <c r="BE1" s="27" t="s">
        <v>125</v>
      </c>
      <c r="BF1" s="28" t="s">
        <v>135</v>
      </c>
      <c r="BG1" s="29" t="s">
        <v>136</v>
      </c>
      <c r="BH1" s="26" t="s">
        <v>137</v>
      </c>
      <c r="BI1" s="30" t="s">
        <v>138</v>
      </c>
      <c r="BJ1" s="26" t="s">
        <v>139</v>
      </c>
      <c r="BK1" s="30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274" t="s">
        <v>272</v>
      </c>
      <c r="BQ1" s="8" t="s">
        <v>251</v>
      </c>
      <c r="BR1" s="8" t="s">
        <v>252</v>
      </c>
      <c r="BS1" s="31" t="s">
        <v>12</v>
      </c>
      <c r="BT1" s="31" t="s">
        <v>60</v>
      </c>
      <c r="BU1" s="32" t="s">
        <v>53</v>
      </c>
      <c r="BV1" s="32" t="s">
        <v>8</v>
      </c>
      <c r="BW1" s="8" t="s">
        <v>253</v>
      </c>
      <c r="BX1" s="31" t="s">
        <v>11</v>
      </c>
    </row>
    <row r="2" spans="1:77" x14ac:dyDescent="0.15">
      <c r="A2" s="199">
        <v>222</v>
      </c>
      <c r="B2" s="250">
        <v>43383</v>
      </c>
      <c r="C2" s="201" t="s">
        <v>230</v>
      </c>
      <c r="D2" s="199" t="s">
        <v>203</v>
      </c>
      <c r="E2" s="199"/>
      <c r="F2" s="199" t="s">
        <v>254</v>
      </c>
      <c r="G2" s="200">
        <v>43282</v>
      </c>
      <c r="H2" s="202" t="s">
        <v>232</v>
      </c>
      <c r="I2" s="202" t="s">
        <v>233</v>
      </c>
      <c r="J2" s="202"/>
      <c r="K2" s="199" t="s">
        <v>234</v>
      </c>
      <c r="L2" s="199" t="s">
        <v>235</v>
      </c>
      <c r="M2" s="203">
        <v>92.808181818181808</v>
      </c>
      <c r="N2" s="203">
        <v>30.834545454545452</v>
      </c>
      <c r="O2" s="199" t="s">
        <v>225</v>
      </c>
      <c r="P2" s="204">
        <v>500</v>
      </c>
      <c r="Q2" s="203">
        <v>22.809090909090909</v>
      </c>
      <c r="R2" s="204"/>
      <c r="S2" s="203"/>
      <c r="T2" s="204"/>
      <c r="U2" s="199"/>
      <c r="V2" s="247"/>
      <c r="W2" s="247"/>
      <c r="X2" s="199"/>
      <c r="Y2" s="199"/>
      <c r="Z2" s="199"/>
      <c r="AA2" s="199"/>
      <c r="AB2" s="199"/>
      <c r="AC2" s="199"/>
      <c r="AD2" s="199"/>
      <c r="AE2" s="247"/>
      <c r="AF2" s="247"/>
      <c r="AG2" s="199"/>
      <c r="AH2" s="199"/>
      <c r="AI2" s="247"/>
      <c r="AJ2" s="199"/>
      <c r="AK2" s="199"/>
      <c r="AL2" s="199"/>
      <c r="AM2" s="199"/>
      <c r="AN2" s="247"/>
      <c r="AO2" s="248"/>
      <c r="AP2" s="247"/>
      <c r="AQ2" s="199" t="s">
        <v>255</v>
      </c>
      <c r="AR2" s="202" t="s">
        <v>233</v>
      </c>
      <c r="AS2" s="202"/>
      <c r="AT2" s="202"/>
      <c r="AU2" s="202"/>
      <c r="AV2" s="202">
        <v>8.8829999999999991</v>
      </c>
      <c r="AW2" s="202"/>
      <c r="AX2" s="202"/>
      <c r="AY2" s="202"/>
      <c r="AZ2" s="202" t="s">
        <v>239</v>
      </c>
      <c r="BA2" s="199"/>
      <c r="BB2" s="202">
        <v>0</v>
      </c>
      <c r="BC2" s="202">
        <v>0</v>
      </c>
      <c r="BD2" s="202">
        <v>0</v>
      </c>
      <c r="BE2" s="202">
        <v>0</v>
      </c>
      <c r="BF2" s="202">
        <v>0</v>
      </c>
      <c r="BG2" s="202">
        <v>0</v>
      </c>
      <c r="BH2" s="202">
        <v>0</v>
      </c>
      <c r="BI2" s="202">
        <v>0</v>
      </c>
      <c r="BJ2" s="202">
        <v>0</v>
      </c>
      <c r="BK2" s="202">
        <v>0</v>
      </c>
      <c r="BL2" s="202"/>
      <c r="BM2" s="202"/>
      <c r="BN2" s="202"/>
      <c r="BO2" s="202" t="s">
        <v>232</v>
      </c>
      <c r="BP2" s="317"/>
      <c r="BQ2" s="202"/>
      <c r="BR2" s="202"/>
      <c r="BS2" s="199" t="s">
        <v>229</v>
      </c>
      <c r="BT2" s="205" t="s">
        <v>173</v>
      </c>
      <c r="BU2" s="202">
        <v>20</v>
      </c>
      <c r="BV2" s="202" t="s">
        <v>233</v>
      </c>
      <c r="BW2" s="202"/>
      <c r="BX2" s="199"/>
      <c r="BY2" s="199" t="s">
        <v>299</v>
      </c>
    </row>
    <row r="3" spans="1:77" ht="13" customHeight="1" x14ac:dyDescent="0.15">
      <c r="A3" s="199">
        <v>21</v>
      </c>
      <c r="B3" s="250">
        <v>43383</v>
      </c>
      <c r="C3" s="201" t="s">
        <v>230</v>
      </c>
      <c r="D3" s="199" t="s">
        <v>203</v>
      </c>
      <c r="E3" s="199"/>
      <c r="F3" s="199" t="s">
        <v>254</v>
      </c>
      <c r="G3" s="200">
        <v>43271</v>
      </c>
      <c r="H3" s="202" t="s">
        <v>221</v>
      </c>
      <c r="I3" s="202" t="s">
        <v>222</v>
      </c>
      <c r="J3" s="202"/>
      <c r="K3" s="199" t="s">
        <v>207</v>
      </c>
      <c r="L3" s="199" t="s">
        <v>208</v>
      </c>
      <c r="M3" s="203">
        <v>91.8</v>
      </c>
      <c r="N3" s="203">
        <v>30.499999999999996</v>
      </c>
      <c r="O3" s="199" t="s">
        <v>225</v>
      </c>
      <c r="P3" s="204">
        <v>500</v>
      </c>
      <c r="Q3" s="203">
        <v>22.499999999999996</v>
      </c>
      <c r="R3" s="204"/>
      <c r="S3" s="203"/>
      <c r="T3" s="204"/>
      <c r="U3" s="199"/>
      <c r="V3" s="247"/>
      <c r="W3" s="247"/>
      <c r="X3" s="199"/>
      <c r="Y3" s="199"/>
      <c r="Z3" s="199"/>
      <c r="AA3" s="199"/>
      <c r="AB3" s="199"/>
      <c r="AC3" s="199"/>
      <c r="AD3" s="199"/>
      <c r="AE3" s="247"/>
      <c r="AF3" s="247"/>
      <c r="AG3" s="199"/>
      <c r="AH3" s="199"/>
      <c r="AI3" s="247"/>
      <c r="AJ3" s="199"/>
      <c r="AK3" s="199"/>
      <c r="AL3" s="199"/>
      <c r="AM3" s="199"/>
      <c r="AN3" s="247"/>
      <c r="AO3" s="248"/>
      <c r="AP3" s="247"/>
      <c r="AQ3" s="199" t="s">
        <v>255</v>
      </c>
      <c r="AR3" s="202" t="s">
        <v>233</v>
      </c>
      <c r="AS3" s="202"/>
      <c r="AT3" s="202"/>
      <c r="AU3" s="202"/>
      <c r="AV3" s="202">
        <v>8.8829999999999991</v>
      </c>
      <c r="AW3" s="202"/>
      <c r="AX3" s="202"/>
      <c r="AY3" s="202"/>
      <c r="AZ3" s="202" t="s">
        <v>233</v>
      </c>
      <c r="BA3" s="199"/>
      <c r="BB3" s="202">
        <v>0</v>
      </c>
      <c r="BC3" s="202">
        <v>5</v>
      </c>
      <c r="BD3" s="202">
        <v>0</v>
      </c>
      <c r="BE3" s="202">
        <v>0</v>
      </c>
      <c r="BF3" s="202">
        <v>0</v>
      </c>
      <c r="BG3" s="202">
        <v>0</v>
      </c>
      <c r="BH3" s="202">
        <v>0</v>
      </c>
      <c r="BI3" s="202">
        <v>0</v>
      </c>
      <c r="BJ3" s="202">
        <v>0</v>
      </c>
      <c r="BK3" s="202">
        <v>0</v>
      </c>
      <c r="BL3" s="202"/>
      <c r="BM3" s="202"/>
      <c r="BN3" s="202">
        <v>12</v>
      </c>
      <c r="BO3" s="202" t="s">
        <v>233</v>
      </c>
      <c r="BP3" s="317"/>
      <c r="BQ3" s="202"/>
      <c r="BR3" s="202"/>
      <c r="BS3" s="202"/>
      <c r="BT3" s="202"/>
      <c r="BU3" s="202"/>
      <c r="BV3" s="202" t="s">
        <v>233</v>
      </c>
      <c r="BW3" s="202">
        <v>1</v>
      </c>
      <c r="BX3" s="205"/>
      <c r="BY3" s="199" t="s">
        <v>310</v>
      </c>
    </row>
    <row r="4" spans="1:77" x14ac:dyDescent="0.15">
      <c r="A4" s="199">
        <v>2105</v>
      </c>
      <c r="B4" s="250">
        <v>43383</v>
      </c>
      <c r="C4" s="201" t="s">
        <v>219</v>
      </c>
      <c r="D4" s="199" t="s">
        <v>203</v>
      </c>
      <c r="E4" s="199"/>
      <c r="F4" s="199" t="s">
        <v>254</v>
      </c>
      <c r="G4" s="318">
        <v>43350</v>
      </c>
      <c r="H4" s="202" t="s">
        <v>221</v>
      </c>
      <c r="I4" s="202" t="s">
        <v>222</v>
      </c>
      <c r="J4" s="202"/>
      <c r="K4" s="199" t="s">
        <v>296</v>
      </c>
      <c r="L4" s="199" t="s">
        <v>275</v>
      </c>
      <c r="M4" s="203">
        <v>102</v>
      </c>
      <c r="N4" s="203">
        <v>35.563636363636355</v>
      </c>
      <c r="O4" s="199" t="s">
        <v>225</v>
      </c>
      <c r="P4" s="204">
        <v>500</v>
      </c>
      <c r="Q4" s="203">
        <v>32.390909090909091</v>
      </c>
      <c r="R4" s="204"/>
      <c r="S4" s="203"/>
      <c r="T4" s="204"/>
      <c r="U4" s="199"/>
      <c r="V4" s="247"/>
      <c r="W4" s="247"/>
      <c r="X4" s="199"/>
      <c r="Y4" s="199"/>
      <c r="Z4" s="199"/>
      <c r="AA4" s="199"/>
      <c r="AB4" s="199"/>
      <c r="AC4" s="199"/>
      <c r="AD4" s="199"/>
      <c r="AE4" s="247"/>
      <c r="AF4" s="247"/>
      <c r="AG4" s="204"/>
      <c r="AH4" s="199"/>
      <c r="AI4" s="247"/>
      <c r="AJ4" s="199"/>
      <c r="AK4" s="199"/>
      <c r="AL4" s="199"/>
      <c r="AM4" s="199"/>
      <c r="AN4" s="247"/>
      <c r="AO4" s="248"/>
      <c r="AP4" s="247"/>
      <c r="AQ4" s="199" t="s">
        <v>255</v>
      </c>
      <c r="AR4" s="202" t="s">
        <v>233</v>
      </c>
      <c r="AS4" s="202"/>
      <c r="AT4" s="202"/>
      <c r="AU4" s="202"/>
      <c r="AV4" s="202">
        <v>8.8829999999999991</v>
      </c>
      <c r="AW4" s="202"/>
      <c r="AX4" s="202"/>
      <c r="AY4" s="202"/>
      <c r="AZ4" s="202" t="s">
        <v>233</v>
      </c>
      <c r="BA4" s="199"/>
      <c r="BB4" s="202">
        <v>0</v>
      </c>
      <c r="BC4" s="202">
        <v>5</v>
      </c>
      <c r="BD4" s="202">
        <v>0</v>
      </c>
      <c r="BE4" s="202">
        <v>0</v>
      </c>
      <c r="BF4" s="202">
        <v>0</v>
      </c>
      <c r="BG4" s="202">
        <v>0</v>
      </c>
      <c r="BH4" s="202">
        <v>0</v>
      </c>
      <c r="BI4" s="202">
        <v>0</v>
      </c>
      <c r="BJ4" s="202">
        <v>0</v>
      </c>
      <c r="BK4" s="202">
        <v>0</v>
      </c>
      <c r="BL4" s="202"/>
      <c r="BM4" s="202"/>
      <c r="BN4" s="202"/>
      <c r="BO4" s="202" t="s">
        <v>233</v>
      </c>
      <c r="BP4" s="317"/>
      <c r="BQ4" s="202"/>
      <c r="BR4" s="202"/>
      <c r="BS4" s="205" t="s">
        <v>311</v>
      </c>
      <c r="BT4" s="205" t="s">
        <v>173</v>
      </c>
      <c r="BU4" s="202">
        <v>50</v>
      </c>
      <c r="BV4" s="202" t="s">
        <v>233</v>
      </c>
      <c r="BW4" s="202"/>
      <c r="BX4" s="205" t="s">
        <v>298</v>
      </c>
      <c r="BY4" s="199" t="s">
        <v>312</v>
      </c>
    </row>
    <row r="5" spans="1:77" x14ac:dyDescent="0.15">
      <c r="A5" s="199">
        <v>594</v>
      </c>
      <c r="B5" s="250">
        <v>43383</v>
      </c>
      <c r="C5" s="201" t="s">
        <v>230</v>
      </c>
      <c r="D5" s="199" t="s">
        <v>203</v>
      </c>
      <c r="E5" s="199"/>
      <c r="F5" s="199" t="s">
        <v>254</v>
      </c>
      <c r="G5" s="200">
        <v>43312</v>
      </c>
      <c r="H5" s="202" t="s">
        <v>221</v>
      </c>
      <c r="I5" s="202" t="s">
        <v>222</v>
      </c>
      <c r="J5" s="202"/>
      <c r="K5" s="199" t="s">
        <v>280</v>
      </c>
      <c r="L5" s="199" t="s">
        <v>281</v>
      </c>
      <c r="M5" s="203">
        <v>87.272727272727266</v>
      </c>
      <c r="N5" s="203">
        <v>24.09090909090909</v>
      </c>
      <c r="O5" s="199" t="s">
        <v>225</v>
      </c>
      <c r="P5" s="204">
        <v>500</v>
      </c>
      <c r="Q5" s="203">
        <v>24.09090909090909</v>
      </c>
      <c r="R5" s="204"/>
      <c r="S5" s="203"/>
      <c r="T5" s="204"/>
      <c r="U5" s="199"/>
      <c r="V5" s="247"/>
      <c r="W5" s="247"/>
      <c r="X5" s="199"/>
      <c r="Y5" s="199"/>
      <c r="Z5" s="199"/>
      <c r="AA5" s="199"/>
      <c r="AB5" s="199"/>
      <c r="AC5" s="199"/>
      <c r="AD5" s="199"/>
      <c r="AE5" s="247"/>
      <c r="AF5" s="247"/>
      <c r="AG5" s="199"/>
      <c r="AH5" s="199"/>
      <c r="AI5" s="247"/>
      <c r="AJ5" s="199"/>
      <c r="AK5" s="199"/>
      <c r="AL5" s="199"/>
      <c r="AM5" s="199"/>
      <c r="AN5" s="247"/>
      <c r="AO5" s="248"/>
      <c r="AP5" s="247"/>
      <c r="AQ5" s="319" t="s">
        <v>255</v>
      </c>
      <c r="AR5" s="202" t="s">
        <v>233</v>
      </c>
      <c r="AS5" s="202"/>
      <c r="AT5" s="202"/>
      <c r="AU5" s="202"/>
      <c r="AV5" s="202">
        <v>8.9</v>
      </c>
      <c r="AW5" s="202"/>
      <c r="AX5" s="202"/>
      <c r="AY5" s="202"/>
      <c r="AZ5" s="202" t="s">
        <v>228</v>
      </c>
      <c r="BA5" s="199"/>
      <c r="BB5" s="202">
        <v>0</v>
      </c>
      <c r="BC5" s="202">
        <v>0</v>
      </c>
      <c r="BD5" s="202">
        <v>0</v>
      </c>
      <c r="BE5" s="202">
        <v>0</v>
      </c>
      <c r="BF5" s="202">
        <v>0</v>
      </c>
      <c r="BG5" s="202">
        <v>0</v>
      </c>
      <c r="BH5" s="202">
        <v>0</v>
      </c>
      <c r="BI5" s="202">
        <v>0</v>
      </c>
      <c r="BJ5" s="202">
        <v>0</v>
      </c>
      <c r="BK5" s="202">
        <v>0</v>
      </c>
      <c r="BL5" s="202"/>
      <c r="BM5" s="202"/>
      <c r="BN5" s="202"/>
      <c r="BO5" s="202" t="s">
        <v>233</v>
      </c>
      <c r="BP5" s="320">
        <v>163.58181818181816</v>
      </c>
      <c r="BQ5" s="202"/>
      <c r="BR5" s="202"/>
      <c r="BS5" s="202"/>
      <c r="BT5" s="202"/>
      <c r="BU5" s="202"/>
      <c r="BV5" s="202" t="s">
        <v>233</v>
      </c>
      <c r="BW5" s="202"/>
      <c r="BX5" s="205"/>
      <c r="BY5" s="199" t="s">
        <v>313</v>
      </c>
    </row>
    <row r="6" spans="1:77" x14ac:dyDescent="0.15">
      <c r="A6" s="199">
        <v>220</v>
      </c>
      <c r="B6" s="250">
        <v>43383</v>
      </c>
      <c r="C6" s="201" t="s">
        <v>230</v>
      </c>
      <c r="D6" s="199" t="s">
        <v>203</v>
      </c>
      <c r="E6" s="199"/>
      <c r="F6" s="199" t="s">
        <v>240</v>
      </c>
      <c r="G6" s="200">
        <v>43282</v>
      </c>
      <c r="H6" s="202" t="s">
        <v>232</v>
      </c>
      <c r="I6" s="202" t="s">
        <v>233</v>
      </c>
      <c r="J6" s="202"/>
      <c r="K6" s="199" t="s">
        <v>234</v>
      </c>
      <c r="L6" s="199" t="s">
        <v>235</v>
      </c>
      <c r="M6" s="203">
        <v>109.44454545454545</v>
      </c>
      <c r="N6" s="203">
        <v>30.834545454545452</v>
      </c>
      <c r="O6" s="199" t="s">
        <v>225</v>
      </c>
      <c r="P6" s="204">
        <v>500</v>
      </c>
      <c r="Q6" s="203">
        <v>22.809090909090909</v>
      </c>
      <c r="R6" s="204"/>
      <c r="S6" s="203"/>
      <c r="T6" s="204"/>
      <c r="U6" s="199"/>
      <c r="V6" s="247"/>
      <c r="W6" s="247"/>
      <c r="X6" s="199"/>
      <c r="Y6" s="199"/>
      <c r="Z6" s="199"/>
      <c r="AA6" s="199"/>
      <c r="AB6" s="199"/>
      <c r="AC6" s="199"/>
      <c r="AD6" s="199"/>
      <c r="AE6" s="247"/>
      <c r="AF6" s="203">
        <v>14.609090909090908</v>
      </c>
      <c r="AG6" s="199"/>
      <c r="AH6" s="199"/>
      <c r="AI6" s="247"/>
      <c r="AJ6" s="199"/>
      <c r="AK6" s="199"/>
      <c r="AL6" s="199"/>
      <c r="AM6" s="199"/>
      <c r="AN6" s="247"/>
      <c r="AO6" s="248"/>
      <c r="AP6" s="247"/>
      <c r="AQ6" s="199" t="s">
        <v>264</v>
      </c>
      <c r="AR6" s="202" t="s">
        <v>233</v>
      </c>
      <c r="AS6" s="202"/>
      <c r="AT6" s="202"/>
      <c r="AU6" s="202"/>
      <c r="AV6" s="202">
        <v>8.8829999999999991</v>
      </c>
      <c r="AW6" s="202"/>
      <c r="AX6" s="202"/>
      <c r="AY6" s="202"/>
      <c r="AZ6" s="202" t="s">
        <v>239</v>
      </c>
      <c r="BA6" s="199"/>
      <c r="BB6" s="202">
        <v>0</v>
      </c>
      <c r="BC6" s="202">
        <v>0</v>
      </c>
      <c r="BD6" s="202">
        <v>0</v>
      </c>
      <c r="BE6" s="202">
        <v>0</v>
      </c>
      <c r="BF6" s="202">
        <v>0</v>
      </c>
      <c r="BG6" s="202">
        <v>0</v>
      </c>
      <c r="BH6" s="202">
        <v>0</v>
      </c>
      <c r="BI6" s="202">
        <v>0</v>
      </c>
      <c r="BJ6" s="202">
        <v>0</v>
      </c>
      <c r="BK6" s="202">
        <v>0</v>
      </c>
      <c r="BL6" s="202"/>
      <c r="BM6" s="202"/>
      <c r="BN6" s="202"/>
      <c r="BO6" s="202" t="s">
        <v>232</v>
      </c>
      <c r="BP6" s="317"/>
      <c r="BQ6" s="202"/>
      <c r="BR6" s="202"/>
      <c r="BS6" s="199" t="s">
        <v>229</v>
      </c>
      <c r="BT6" s="205" t="s">
        <v>173</v>
      </c>
      <c r="BU6" s="202">
        <v>20</v>
      </c>
      <c r="BV6" s="202" t="s">
        <v>233</v>
      </c>
      <c r="BW6" s="202"/>
      <c r="BX6" s="199"/>
      <c r="BY6" s="199" t="s">
        <v>314</v>
      </c>
    </row>
    <row r="7" spans="1:77" ht="13" customHeight="1" x14ac:dyDescent="0.15">
      <c r="A7" s="199">
        <v>20</v>
      </c>
      <c r="B7" s="250">
        <v>43383</v>
      </c>
      <c r="C7" s="201" t="s">
        <v>230</v>
      </c>
      <c r="D7" s="199" t="s">
        <v>203</v>
      </c>
      <c r="E7" s="199"/>
      <c r="F7" s="199" t="s">
        <v>240</v>
      </c>
      <c r="G7" s="200">
        <v>43271</v>
      </c>
      <c r="H7" s="202" t="s">
        <v>221</v>
      </c>
      <c r="I7" s="202" t="s">
        <v>222</v>
      </c>
      <c r="J7" s="202"/>
      <c r="K7" s="199" t="s">
        <v>207</v>
      </c>
      <c r="L7" s="199" t="s">
        <v>208</v>
      </c>
      <c r="M7" s="203">
        <v>111.39999999999999</v>
      </c>
      <c r="N7" s="203">
        <v>30.499999999999996</v>
      </c>
      <c r="O7" s="199" t="s">
        <v>225</v>
      </c>
      <c r="P7" s="204">
        <v>500</v>
      </c>
      <c r="Q7" s="203">
        <v>22.499999999999996</v>
      </c>
      <c r="R7" s="204"/>
      <c r="S7" s="203"/>
      <c r="T7" s="204"/>
      <c r="U7" s="199"/>
      <c r="V7" s="247"/>
      <c r="W7" s="247"/>
      <c r="X7" s="199"/>
      <c r="Y7" s="199"/>
      <c r="Z7" s="199"/>
      <c r="AA7" s="199"/>
      <c r="AB7" s="199"/>
      <c r="AC7" s="199"/>
      <c r="AD7" s="199"/>
      <c r="AE7" s="247"/>
      <c r="AF7" s="203">
        <v>12.2</v>
      </c>
      <c r="AG7" s="199"/>
      <c r="AH7" s="199"/>
      <c r="AI7" s="247"/>
      <c r="AJ7" s="199"/>
      <c r="AK7" s="199"/>
      <c r="AL7" s="199"/>
      <c r="AM7" s="199"/>
      <c r="AN7" s="247"/>
      <c r="AO7" s="248"/>
      <c r="AP7" s="247"/>
      <c r="AQ7" s="199" t="s">
        <v>242</v>
      </c>
      <c r="AR7" s="202" t="s">
        <v>233</v>
      </c>
      <c r="AS7" s="202"/>
      <c r="AT7" s="202"/>
      <c r="AU7" s="202"/>
      <c r="AV7" s="202">
        <v>8.8829999999999991</v>
      </c>
      <c r="AW7" s="202"/>
      <c r="AX7" s="202"/>
      <c r="AY7" s="202"/>
      <c r="AZ7" s="202" t="s">
        <v>233</v>
      </c>
      <c r="BA7" s="199"/>
      <c r="BB7" s="202">
        <v>0</v>
      </c>
      <c r="BC7" s="202">
        <v>5</v>
      </c>
      <c r="BD7" s="202">
        <v>0</v>
      </c>
      <c r="BE7" s="202">
        <v>0</v>
      </c>
      <c r="BF7" s="202">
        <v>0</v>
      </c>
      <c r="BG7" s="202">
        <v>0</v>
      </c>
      <c r="BH7" s="202">
        <v>0</v>
      </c>
      <c r="BI7" s="202">
        <v>0</v>
      </c>
      <c r="BJ7" s="202">
        <v>0</v>
      </c>
      <c r="BK7" s="202">
        <v>0</v>
      </c>
      <c r="BL7" s="202"/>
      <c r="BM7" s="202"/>
      <c r="BN7" s="202">
        <v>12</v>
      </c>
      <c r="BO7" s="202" t="s">
        <v>233</v>
      </c>
      <c r="BP7" s="317"/>
      <c r="BQ7" s="202"/>
      <c r="BR7" s="202"/>
      <c r="BS7" s="202"/>
      <c r="BT7" s="202"/>
      <c r="BU7" s="202"/>
      <c r="BV7" s="202" t="s">
        <v>233</v>
      </c>
      <c r="BW7" s="202">
        <v>1</v>
      </c>
      <c r="BX7" s="205"/>
      <c r="BY7" s="199" t="s">
        <v>315</v>
      </c>
    </row>
    <row r="8" spans="1:77" ht="13" customHeight="1" x14ac:dyDescent="0.15">
      <c r="A8" s="199">
        <v>2102</v>
      </c>
      <c r="B8" s="250">
        <v>43383</v>
      </c>
      <c r="C8" s="201" t="s">
        <v>219</v>
      </c>
      <c r="D8" s="199" t="s">
        <v>203</v>
      </c>
      <c r="E8" s="199"/>
      <c r="F8" s="199" t="s">
        <v>240</v>
      </c>
      <c r="G8" s="318">
        <v>43350</v>
      </c>
      <c r="H8" s="202" t="s">
        <v>221</v>
      </c>
      <c r="I8" s="202" t="s">
        <v>222</v>
      </c>
      <c r="J8" s="202"/>
      <c r="K8" s="199" t="s">
        <v>296</v>
      </c>
      <c r="L8" s="199" t="s">
        <v>275</v>
      </c>
      <c r="M8" s="203">
        <v>102</v>
      </c>
      <c r="N8" s="203">
        <v>35.563636363636355</v>
      </c>
      <c r="O8" s="199" t="s">
        <v>225</v>
      </c>
      <c r="P8" s="204">
        <v>500</v>
      </c>
      <c r="Q8" s="203">
        <v>32.390909090909091</v>
      </c>
      <c r="R8" s="204"/>
      <c r="S8" s="203"/>
      <c r="T8" s="204"/>
      <c r="U8" s="199"/>
      <c r="V8" s="247"/>
      <c r="W8" s="247"/>
      <c r="X8" s="199"/>
      <c r="Y8" s="199"/>
      <c r="Z8" s="199"/>
      <c r="AA8" s="199"/>
      <c r="AB8" s="199"/>
      <c r="AC8" s="199"/>
      <c r="AD8" s="199"/>
      <c r="AE8" s="247"/>
      <c r="AF8" s="203">
        <v>28.054545454545451</v>
      </c>
      <c r="AG8" s="204"/>
      <c r="AH8" s="199"/>
      <c r="AI8" s="247"/>
      <c r="AJ8" s="199"/>
      <c r="AK8" s="199"/>
      <c r="AL8" s="199"/>
      <c r="AM8" s="199"/>
      <c r="AN8" s="247"/>
      <c r="AO8" s="248"/>
      <c r="AP8" s="247"/>
      <c r="AQ8" s="55" t="s">
        <v>215</v>
      </c>
      <c r="AR8" s="202" t="s">
        <v>233</v>
      </c>
      <c r="AS8" s="202"/>
      <c r="AT8" s="202"/>
      <c r="AU8" s="202"/>
      <c r="AV8" s="202">
        <v>8.8829999999999991</v>
      </c>
      <c r="AW8" s="202"/>
      <c r="AX8" s="202"/>
      <c r="AY8" s="202"/>
      <c r="AZ8" s="202" t="s">
        <v>233</v>
      </c>
      <c r="BA8" s="199"/>
      <c r="BB8" s="202">
        <v>0</v>
      </c>
      <c r="BC8" s="202">
        <v>5</v>
      </c>
      <c r="BD8" s="202">
        <v>0</v>
      </c>
      <c r="BE8" s="202">
        <v>0</v>
      </c>
      <c r="BF8" s="202">
        <v>0</v>
      </c>
      <c r="BG8" s="202">
        <v>0</v>
      </c>
      <c r="BH8" s="202">
        <v>0</v>
      </c>
      <c r="BI8" s="202">
        <v>0</v>
      </c>
      <c r="BJ8" s="202">
        <v>0</v>
      </c>
      <c r="BK8" s="202">
        <v>0</v>
      </c>
      <c r="BL8" s="202"/>
      <c r="BM8" s="202"/>
      <c r="BN8" s="202"/>
      <c r="BO8" s="202" t="s">
        <v>233</v>
      </c>
      <c r="BP8" s="317"/>
      <c r="BQ8" s="202"/>
      <c r="BR8" s="202"/>
      <c r="BS8" s="205" t="s">
        <v>311</v>
      </c>
      <c r="BT8" s="205" t="s">
        <v>173</v>
      </c>
      <c r="BU8" s="202">
        <v>50</v>
      </c>
      <c r="BV8" s="202" t="s">
        <v>233</v>
      </c>
      <c r="BW8" s="202"/>
      <c r="BX8" s="205" t="s">
        <v>298</v>
      </c>
      <c r="BY8" s="199" t="s">
        <v>316</v>
      </c>
    </row>
    <row r="9" spans="1:77" ht="13" customHeight="1" x14ac:dyDescent="0.15">
      <c r="A9" s="199">
        <v>593</v>
      </c>
      <c r="B9" s="250">
        <v>43383</v>
      </c>
      <c r="C9" s="201" t="s">
        <v>230</v>
      </c>
      <c r="D9" s="199" t="s">
        <v>203</v>
      </c>
      <c r="E9" s="199"/>
      <c r="F9" s="199" t="s">
        <v>240</v>
      </c>
      <c r="G9" s="200">
        <v>43312</v>
      </c>
      <c r="H9" s="202" t="s">
        <v>221</v>
      </c>
      <c r="I9" s="202" t="s">
        <v>222</v>
      </c>
      <c r="J9" s="202"/>
      <c r="K9" s="199" t="s">
        <v>280</v>
      </c>
      <c r="L9" s="199" t="s">
        <v>281</v>
      </c>
      <c r="M9" s="203">
        <v>119.99999999999999</v>
      </c>
      <c r="N9" s="203">
        <v>24.09090909090909</v>
      </c>
      <c r="O9" s="199" t="s">
        <v>225</v>
      </c>
      <c r="P9" s="204">
        <v>500</v>
      </c>
      <c r="Q9" s="203">
        <v>24.09090909090909</v>
      </c>
      <c r="R9" s="204"/>
      <c r="S9" s="203"/>
      <c r="T9" s="204"/>
      <c r="U9" s="199"/>
      <c r="V9" s="247"/>
      <c r="W9" s="247"/>
      <c r="X9" s="199"/>
      <c r="Y9" s="199"/>
      <c r="Z9" s="199"/>
      <c r="AA9" s="199"/>
      <c r="AB9" s="199"/>
      <c r="AC9" s="199"/>
      <c r="AD9" s="199"/>
      <c r="AE9" s="247"/>
      <c r="AF9" s="203">
        <v>16.818181818181817</v>
      </c>
      <c r="AG9" s="199"/>
      <c r="AH9" s="199"/>
      <c r="AI9" s="247"/>
      <c r="AJ9" s="199"/>
      <c r="AK9" s="199"/>
      <c r="AL9" s="199"/>
      <c r="AM9" s="199"/>
      <c r="AN9" s="247"/>
      <c r="AO9" s="248"/>
      <c r="AP9" s="247"/>
      <c r="AQ9" s="319" t="s">
        <v>242</v>
      </c>
      <c r="AR9" s="202" t="s">
        <v>233</v>
      </c>
      <c r="AS9" s="202"/>
      <c r="AT9" s="202"/>
      <c r="AU9" s="202"/>
      <c r="AV9" s="202">
        <v>8.9</v>
      </c>
      <c r="AW9" s="202"/>
      <c r="AX9" s="202"/>
      <c r="AY9" s="202"/>
      <c r="AZ9" s="202" t="s">
        <v>228</v>
      </c>
      <c r="BA9" s="199"/>
      <c r="BB9" s="202">
        <v>0</v>
      </c>
      <c r="BC9" s="202">
        <v>0</v>
      </c>
      <c r="BD9" s="202">
        <v>0</v>
      </c>
      <c r="BE9" s="202">
        <v>0</v>
      </c>
      <c r="BF9" s="202">
        <v>0</v>
      </c>
      <c r="BG9" s="202">
        <v>0</v>
      </c>
      <c r="BH9" s="202">
        <v>0</v>
      </c>
      <c r="BI9" s="202">
        <v>0</v>
      </c>
      <c r="BJ9" s="202">
        <v>0</v>
      </c>
      <c r="BK9" s="202">
        <v>0</v>
      </c>
      <c r="BL9" s="202"/>
      <c r="BM9" s="202"/>
      <c r="BN9" s="202"/>
      <c r="BO9" s="202" t="s">
        <v>233</v>
      </c>
      <c r="BP9" s="320">
        <v>163.58181818181816</v>
      </c>
      <c r="BQ9" s="202"/>
      <c r="BR9" s="202"/>
      <c r="BS9" s="202"/>
      <c r="BT9" s="202"/>
      <c r="BU9" s="202"/>
      <c r="BV9" s="202" t="s">
        <v>233</v>
      </c>
      <c r="BW9" s="202"/>
      <c r="BX9" s="205"/>
      <c r="BY9" s="199" t="s">
        <v>317</v>
      </c>
    </row>
    <row r="10" spans="1:77" ht="13" customHeight="1" x14ac:dyDescent="0.15">
      <c r="A10" s="199">
        <v>223</v>
      </c>
      <c r="B10" s="250">
        <v>43383</v>
      </c>
      <c r="C10" s="201" t="s">
        <v>230</v>
      </c>
      <c r="D10" s="199" t="s">
        <v>203</v>
      </c>
      <c r="E10" s="199"/>
      <c r="F10" s="199" t="s">
        <v>231</v>
      </c>
      <c r="G10" s="200">
        <v>43282</v>
      </c>
      <c r="H10" s="202" t="s">
        <v>232</v>
      </c>
      <c r="I10" s="202" t="s">
        <v>233</v>
      </c>
      <c r="J10" s="202"/>
      <c r="K10" s="199" t="s">
        <v>234</v>
      </c>
      <c r="L10" s="199" t="s">
        <v>235</v>
      </c>
      <c r="M10" s="203">
        <v>100.52999999999999</v>
      </c>
      <c r="N10" s="203">
        <v>25.373636363636361</v>
      </c>
      <c r="O10" s="199"/>
      <c r="P10" s="199"/>
      <c r="Q10" s="247"/>
      <c r="R10" s="199"/>
      <c r="S10" s="247"/>
      <c r="T10" s="204"/>
      <c r="U10" s="199"/>
      <c r="V10" s="247"/>
      <c r="W10" s="203">
        <v>10.727272727272727</v>
      </c>
      <c r="X10" s="199"/>
      <c r="Y10" s="199"/>
      <c r="Z10" s="199"/>
      <c r="AA10" s="199"/>
      <c r="AB10" s="199"/>
      <c r="AC10" s="199"/>
      <c r="AD10" s="199"/>
      <c r="AE10" s="247"/>
      <c r="AF10" s="247"/>
      <c r="AG10" s="199"/>
      <c r="AH10" s="199"/>
      <c r="AI10" s="203">
        <v>18.339999999999996</v>
      </c>
      <c r="AJ10" s="199"/>
      <c r="AK10" s="199"/>
      <c r="AL10" s="199"/>
      <c r="AM10" s="199"/>
      <c r="AN10" s="247"/>
      <c r="AO10" s="248"/>
      <c r="AP10" s="247"/>
      <c r="AQ10" s="319" t="s">
        <v>237</v>
      </c>
      <c r="AR10" s="202" t="s">
        <v>233</v>
      </c>
      <c r="AS10" s="202"/>
      <c r="AT10" s="202"/>
      <c r="AU10" s="202"/>
      <c r="AV10" s="202">
        <v>8.8829999999999991</v>
      </c>
      <c r="AW10" s="202"/>
      <c r="AX10" s="202"/>
      <c r="AY10" s="202"/>
      <c r="AZ10" s="202" t="s">
        <v>239</v>
      </c>
      <c r="BA10" s="199"/>
      <c r="BB10" s="202">
        <v>0</v>
      </c>
      <c r="BC10" s="202">
        <v>0</v>
      </c>
      <c r="BD10" s="202">
        <v>0</v>
      </c>
      <c r="BE10" s="202">
        <v>0</v>
      </c>
      <c r="BF10" s="202">
        <v>0</v>
      </c>
      <c r="BG10" s="202">
        <v>0</v>
      </c>
      <c r="BH10" s="202">
        <v>0</v>
      </c>
      <c r="BI10" s="202">
        <v>0</v>
      </c>
      <c r="BJ10" s="202">
        <v>0</v>
      </c>
      <c r="BK10" s="202">
        <v>0</v>
      </c>
      <c r="BL10" s="202"/>
      <c r="BM10" s="202"/>
      <c r="BN10" s="202"/>
      <c r="BO10" s="202" t="s">
        <v>221</v>
      </c>
      <c r="BP10" s="317"/>
      <c r="BQ10" s="202"/>
      <c r="BR10" s="202"/>
      <c r="BS10" s="199" t="s">
        <v>229</v>
      </c>
      <c r="BT10" s="205" t="s">
        <v>173</v>
      </c>
      <c r="BU10" s="202">
        <v>20</v>
      </c>
      <c r="BV10" s="202" t="s">
        <v>233</v>
      </c>
      <c r="BW10" s="202"/>
      <c r="BX10" s="199"/>
      <c r="BY10" s="199" t="s">
        <v>299</v>
      </c>
    </row>
    <row r="11" spans="1:77" ht="13" customHeight="1" x14ac:dyDescent="0.15">
      <c r="A11" s="199">
        <v>22</v>
      </c>
      <c r="B11" s="250">
        <v>43383</v>
      </c>
      <c r="C11" s="201" t="s">
        <v>230</v>
      </c>
      <c r="D11" s="199" t="s">
        <v>203</v>
      </c>
      <c r="E11" s="199"/>
      <c r="F11" s="199" t="s">
        <v>231</v>
      </c>
      <c r="G11" s="200">
        <v>43271</v>
      </c>
      <c r="H11" s="202" t="s">
        <v>221</v>
      </c>
      <c r="I11" s="202" t="s">
        <v>222</v>
      </c>
      <c r="J11" s="202"/>
      <c r="K11" s="199" t="s">
        <v>207</v>
      </c>
      <c r="L11" s="199" t="s">
        <v>208</v>
      </c>
      <c r="M11" s="203">
        <v>99.5</v>
      </c>
      <c r="N11" s="203">
        <v>25.099999999999998</v>
      </c>
      <c r="O11" s="199"/>
      <c r="P11" s="199"/>
      <c r="Q11" s="247"/>
      <c r="R11" s="199"/>
      <c r="S11" s="247"/>
      <c r="T11" s="204"/>
      <c r="U11" s="199"/>
      <c r="V11" s="247"/>
      <c r="W11" s="203">
        <v>10.6</v>
      </c>
      <c r="X11" s="199"/>
      <c r="Y11" s="199"/>
      <c r="Z11" s="199"/>
      <c r="AA11" s="199"/>
      <c r="AB11" s="199"/>
      <c r="AC11" s="199"/>
      <c r="AD11" s="199"/>
      <c r="AE11" s="247"/>
      <c r="AF11" s="247"/>
      <c r="AG11" s="199"/>
      <c r="AH11" s="199"/>
      <c r="AI11" s="203">
        <v>18.099999999999998</v>
      </c>
      <c r="AJ11" s="199"/>
      <c r="AK11" s="199"/>
      <c r="AL11" s="199"/>
      <c r="AM11" s="199"/>
      <c r="AN11" s="247"/>
      <c r="AO11" s="248"/>
      <c r="AP11" s="247"/>
      <c r="AQ11" s="319" t="s">
        <v>237</v>
      </c>
      <c r="AR11" s="202" t="s">
        <v>233</v>
      </c>
      <c r="AS11" s="202"/>
      <c r="AT11" s="202"/>
      <c r="AU11" s="202"/>
      <c r="AV11" s="202">
        <v>8.8829999999999991</v>
      </c>
      <c r="AW11" s="202"/>
      <c r="AX11" s="202"/>
      <c r="AY11" s="202"/>
      <c r="AZ11" s="202" t="s">
        <v>233</v>
      </c>
      <c r="BA11" s="199"/>
      <c r="BB11" s="202">
        <v>0</v>
      </c>
      <c r="BC11" s="202">
        <v>5</v>
      </c>
      <c r="BD11" s="202">
        <v>0</v>
      </c>
      <c r="BE11" s="202">
        <v>0</v>
      </c>
      <c r="BF11" s="202">
        <v>0</v>
      </c>
      <c r="BG11" s="202">
        <v>0</v>
      </c>
      <c r="BH11" s="202">
        <v>0</v>
      </c>
      <c r="BI11" s="202">
        <v>0</v>
      </c>
      <c r="BJ11" s="202">
        <v>0</v>
      </c>
      <c r="BK11" s="202">
        <v>0</v>
      </c>
      <c r="BL11" s="202"/>
      <c r="BM11" s="202"/>
      <c r="BN11" s="202">
        <v>12</v>
      </c>
      <c r="BO11" s="202" t="s">
        <v>233</v>
      </c>
      <c r="BP11" s="317"/>
      <c r="BQ11" s="202"/>
      <c r="BR11" s="202"/>
      <c r="BS11" s="202"/>
      <c r="BT11" s="202"/>
      <c r="BU11" s="202"/>
      <c r="BV11" s="202" t="s">
        <v>233</v>
      </c>
      <c r="BW11" s="202">
        <v>1</v>
      </c>
      <c r="BX11" s="205"/>
      <c r="BY11" s="199" t="s">
        <v>318</v>
      </c>
    </row>
    <row r="12" spans="1:77" x14ac:dyDescent="0.15">
      <c r="A12" s="199">
        <v>595</v>
      </c>
      <c r="B12" s="250">
        <v>43383</v>
      </c>
      <c r="C12" s="201" t="s">
        <v>230</v>
      </c>
      <c r="D12" s="199" t="s">
        <v>203</v>
      </c>
      <c r="E12" s="199"/>
      <c r="F12" s="199" t="s">
        <v>231</v>
      </c>
      <c r="G12" s="200">
        <v>43312</v>
      </c>
      <c r="H12" s="202" t="s">
        <v>221</v>
      </c>
      <c r="I12" s="202" t="s">
        <v>222</v>
      </c>
      <c r="J12" s="202"/>
      <c r="K12" s="199" t="s">
        <v>280</v>
      </c>
      <c r="L12" s="199" t="s">
        <v>281</v>
      </c>
      <c r="M12" s="203">
        <v>102.72727272727272</v>
      </c>
      <c r="N12" s="203">
        <v>25.454545454545453</v>
      </c>
      <c r="O12" s="199"/>
      <c r="P12" s="199"/>
      <c r="Q12" s="247"/>
      <c r="R12" s="199"/>
      <c r="S12" s="247"/>
      <c r="T12" s="204"/>
      <c r="U12" s="199"/>
      <c r="V12" s="247"/>
      <c r="W12" s="203">
        <v>16.818181818181817</v>
      </c>
      <c r="X12" s="199"/>
      <c r="Y12" s="199"/>
      <c r="Z12" s="199"/>
      <c r="AA12" s="199"/>
      <c r="AB12" s="199"/>
      <c r="AC12" s="199"/>
      <c r="AD12" s="199"/>
      <c r="AE12" s="247"/>
      <c r="AF12" s="247"/>
      <c r="AG12" s="199"/>
      <c r="AH12" s="199"/>
      <c r="AI12" s="203">
        <v>21.363636363636363</v>
      </c>
      <c r="AJ12" s="199"/>
      <c r="AK12" s="199"/>
      <c r="AL12" s="199"/>
      <c r="AM12" s="199"/>
      <c r="AN12" s="247"/>
      <c r="AO12" s="248"/>
      <c r="AP12" s="247"/>
      <c r="AQ12" s="199" t="s">
        <v>237</v>
      </c>
      <c r="AR12" s="202" t="s">
        <v>233</v>
      </c>
      <c r="AS12" s="202"/>
      <c r="AT12" s="202"/>
      <c r="AU12" s="202"/>
      <c r="AV12" s="202">
        <v>8.9</v>
      </c>
      <c r="AW12" s="202"/>
      <c r="AX12" s="202"/>
      <c r="AY12" s="202"/>
      <c r="AZ12" s="202" t="s">
        <v>228</v>
      </c>
      <c r="BA12" s="199"/>
      <c r="BB12" s="202">
        <v>0</v>
      </c>
      <c r="BC12" s="202">
        <v>0</v>
      </c>
      <c r="BD12" s="202">
        <v>0</v>
      </c>
      <c r="BE12" s="202">
        <v>0</v>
      </c>
      <c r="BF12" s="202">
        <v>0</v>
      </c>
      <c r="BG12" s="202">
        <v>0</v>
      </c>
      <c r="BH12" s="202">
        <v>0</v>
      </c>
      <c r="BI12" s="202">
        <v>0</v>
      </c>
      <c r="BJ12" s="202">
        <v>0</v>
      </c>
      <c r="BK12" s="202">
        <v>0</v>
      </c>
      <c r="BL12" s="202"/>
      <c r="BM12" s="202"/>
      <c r="BN12" s="202"/>
      <c r="BO12" s="202" t="s">
        <v>233</v>
      </c>
      <c r="BP12" s="320">
        <v>163.58181818181816</v>
      </c>
      <c r="BQ12" s="202"/>
      <c r="BR12" s="202"/>
      <c r="BS12" s="202"/>
      <c r="BT12" s="202"/>
      <c r="BU12" s="202"/>
      <c r="BV12" s="202" t="s">
        <v>233</v>
      </c>
      <c r="BW12" s="202"/>
      <c r="BX12" s="205"/>
      <c r="BY12" s="199" t="s">
        <v>319</v>
      </c>
    </row>
  </sheetData>
  <sheetProtection algorithmName="SHA-512" hashValue="LFUn6cnbfpY76mIZWRQbxIDMAyA1GxKWhYtS5vaPsknLdqts7Tl0sjQnXp8tEAHtwe/4DZ1dmIBVNYOi3mq3Hg==" saltValue="9wJ2Zwe/iaYAEgANePIc0Q==" spinCount="100000" sheet="1" objects="1" scenarios="1"/>
  <pageMargins left="0.75" right="0.75" top="1" bottom="1" header="0.5" footer="0.5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71FC-5048-A146-8BC0-0257687C7752}">
  <sheetPr codeName="Sheet24"/>
  <dimension ref="A1:BZ16"/>
  <sheetViews>
    <sheetView zoomScale="90" zoomScaleNormal="90" zoomScalePageLayoutView="125" workbookViewId="0">
      <selection activeCell="BC2" sqref="BC2:BF16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250</v>
      </c>
      <c r="AO1" s="18" t="s">
        <v>111</v>
      </c>
      <c r="AP1" s="18" t="s">
        <v>112</v>
      </c>
      <c r="AQ1" s="18" t="s">
        <v>113</v>
      </c>
      <c r="AR1" s="19" t="s">
        <v>114</v>
      </c>
      <c r="AS1" s="20" t="s">
        <v>115</v>
      </c>
      <c r="AT1" s="20" t="s">
        <v>88</v>
      </c>
      <c r="AU1" s="21" t="s">
        <v>89</v>
      </c>
      <c r="AV1" s="22" t="s">
        <v>90</v>
      </c>
      <c r="AW1" s="23" t="s">
        <v>91</v>
      </c>
      <c r="AX1" s="22"/>
      <c r="AY1" s="22"/>
      <c r="AZ1" s="22"/>
      <c r="BA1" s="24" t="s">
        <v>92</v>
      </c>
      <c r="BB1" s="25" t="s">
        <v>93</v>
      </c>
      <c r="BC1" s="26" t="s">
        <v>94</v>
      </c>
      <c r="BD1" s="27" t="s">
        <v>123</v>
      </c>
      <c r="BE1" s="28" t="s">
        <v>124</v>
      </c>
      <c r="BF1" s="27" t="s">
        <v>125</v>
      </c>
      <c r="BG1" s="28" t="s">
        <v>135</v>
      </c>
      <c r="BH1" s="29" t="s">
        <v>136</v>
      </c>
      <c r="BI1" s="26" t="s">
        <v>137</v>
      </c>
      <c r="BJ1" s="30" t="s">
        <v>138</v>
      </c>
      <c r="BK1" s="26" t="s">
        <v>139</v>
      </c>
      <c r="BL1" s="30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74" t="s">
        <v>272</v>
      </c>
      <c r="BR1" s="8" t="s">
        <v>251</v>
      </c>
      <c r="BS1" s="8" t="s">
        <v>252</v>
      </c>
      <c r="BT1" s="31" t="s">
        <v>12</v>
      </c>
      <c r="BU1" s="31" t="s">
        <v>60</v>
      </c>
      <c r="BV1" s="32" t="s">
        <v>53</v>
      </c>
      <c r="BW1" s="32" t="s">
        <v>8</v>
      </c>
      <c r="BX1" s="8" t="s">
        <v>253</v>
      </c>
      <c r="BY1" s="31" t="s">
        <v>11</v>
      </c>
    </row>
    <row r="2" spans="1:78" x14ac:dyDescent="0.15">
      <c r="A2" s="302">
        <v>222</v>
      </c>
      <c r="B2" s="303">
        <v>43200</v>
      </c>
      <c r="C2" s="304" t="s">
        <v>230</v>
      </c>
      <c r="D2" s="302" t="s">
        <v>203</v>
      </c>
      <c r="E2" s="302"/>
      <c r="F2" s="302" t="s">
        <v>254</v>
      </c>
      <c r="G2" s="303">
        <v>42917</v>
      </c>
      <c r="H2" s="305" t="s">
        <v>232</v>
      </c>
      <c r="I2" s="305" t="s">
        <v>233</v>
      </c>
      <c r="J2" s="305"/>
      <c r="K2" s="302" t="s">
        <v>234</v>
      </c>
      <c r="L2" s="302" t="s">
        <v>235</v>
      </c>
      <c r="M2" s="306">
        <v>82.954545454545453</v>
      </c>
      <c r="N2" s="306">
        <v>27.563636363636363</v>
      </c>
      <c r="O2" s="55" t="s">
        <v>225</v>
      </c>
      <c r="P2" s="55">
        <v>500</v>
      </c>
      <c r="Q2" s="306">
        <v>20.390909090909091</v>
      </c>
      <c r="R2" s="302"/>
      <c r="S2" s="307"/>
      <c r="T2" s="308"/>
      <c r="U2" s="302"/>
      <c r="V2" s="307"/>
      <c r="W2" s="307"/>
      <c r="X2" s="302"/>
      <c r="Y2" s="302"/>
      <c r="Z2" s="302"/>
      <c r="AA2" s="302"/>
      <c r="AB2" s="302"/>
      <c r="AC2" s="302"/>
      <c r="AD2" s="302"/>
      <c r="AE2" s="307"/>
      <c r="AF2" s="307"/>
      <c r="AG2" s="302"/>
      <c r="AH2" s="302"/>
      <c r="AI2" s="307"/>
      <c r="AJ2" s="302"/>
      <c r="AK2" s="302"/>
      <c r="AL2" s="302"/>
      <c r="AM2" s="302"/>
      <c r="AN2" s="307"/>
      <c r="AO2" s="309"/>
      <c r="AP2" s="307"/>
      <c r="AQ2" s="307"/>
      <c r="AR2" s="302" t="s">
        <v>255</v>
      </c>
      <c r="AS2" s="305" t="s">
        <v>233</v>
      </c>
      <c r="AT2" s="305"/>
      <c r="AU2" s="305"/>
      <c r="AV2" s="305"/>
      <c r="AW2" s="305">
        <v>6.5010000000000003</v>
      </c>
      <c r="AX2" s="305"/>
      <c r="AY2" s="305"/>
      <c r="AZ2" s="305"/>
      <c r="BA2" s="305" t="s">
        <v>239</v>
      </c>
      <c r="BB2" s="302"/>
      <c r="BC2" s="305">
        <v>0</v>
      </c>
      <c r="BD2" s="305">
        <v>0</v>
      </c>
      <c r="BE2" s="305">
        <v>0</v>
      </c>
      <c r="BF2" s="305">
        <v>0</v>
      </c>
      <c r="BG2" s="305">
        <v>0</v>
      </c>
      <c r="BH2" s="305">
        <v>0</v>
      </c>
      <c r="BI2" s="305">
        <v>0</v>
      </c>
      <c r="BJ2" s="305">
        <v>0</v>
      </c>
      <c r="BK2" s="305">
        <v>0</v>
      </c>
      <c r="BL2" s="305">
        <v>0</v>
      </c>
      <c r="BM2" s="305"/>
      <c r="BN2" s="305"/>
      <c r="BO2" s="305"/>
      <c r="BP2" s="305" t="s">
        <v>232</v>
      </c>
      <c r="BQ2" s="310"/>
      <c r="BR2" s="305"/>
      <c r="BS2" s="305"/>
      <c r="BT2" s="302" t="s">
        <v>229</v>
      </c>
      <c r="BU2" s="311" t="s">
        <v>173</v>
      </c>
      <c r="BV2" s="305">
        <v>20</v>
      </c>
      <c r="BW2" s="305" t="s">
        <v>233</v>
      </c>
      <c r="BX2" s="305"/>
      <c r="BY2" s="302"/>
      <c r="BZ2" s="302" t="s">
        <v>292</v>
      </c>
    </row>
    <row r="3" spans="1:78" ht="13" customHeight="1" x14ac:dyDescent="0.15">
      <c r="A3" s="302">
        <v>21</v>
      </c>
      <c r="B3" s="303">
        <v>43200</v>
      </c>
      <c r="C3" s="304" t="s">
        <v>230</v>
      </c>
      <c r="D3" s="302" t="s">
        <v>203</v>
      </c>
      <c r="E3" s="302"/>
      <c r="F3" s="302" t="s">
        <v>254</v>
      </c>
      <c r="G3" s="303">
        <v>43047</v>
      </c>
      <c r="H3" s="305" t="s">
        <v>221</v>
      </c>
      <c r="I3" s="305" t="s">
        <v>222</v>
      </c>
      <c r="J3" s="305"/>
      <c r="K3" s="302" t="s">
        <v>207</v>
      </c>
      <c r="L3" s="302" t="s">
        <v>208</v>
      </c>
      <c r="M3" s="306">
        <v>82.11818181818181</v>
      </c>
      <c r="N3" s="306">
        <v>26.18181818181818</v>
      </c>
      <c r="O3" s="199" t="s">
        <v>225</v>
      </c>
      <c r="P3" s="199">
        <v>500</v>
      </c>
      <c r="Q3" s="306">
        <v>19.363636363636363</v>
      </c>
      <c r="R3" s="302"/>
      <c r="S3" s="307"/>
      <c r="T3" s="308"/>
      <c r="U3" s="302"/>
      <c r="V3" s="307"/>
      <c r="W3" s="307"/>
      <c r="X3" s="302"/>
      <c r="Y3" s="302"/>
      <c r="Z3" s="302"/>
      <c r="AA3" s="302"/>
      <c r="AB3" s="302"/>
      <c r="AC3" s="302"/>
      <c r="AD3" s="302"/>
      <c r="AE3" s="307"/>
      <c r="AF3" s="307"/>
      <c r="AG3" s="302"/>
      <c r="AH3" s="302"/>
      <c r="AI3" s="307"/>
      <c r="AJ3" s="302"/>
      <c r="AK3" s="302"/>
      <c r="AL3" s="302"/>
      <c r="AM3" s="302"/>
      <c r="AN3" s="307"/>
      <c r="AO3" s="309"/>
      <c r="AP3" s="307"/>
      <c r="AQ3" s="307"/>
      <c r="AR3" s="302" t="s">
        <v>255</v>
      </c>
      <c r="AS3" s="305" t="s">
        <v>233</v>
      </c>
      <c r="AT3" s="305"/>
      <c r="AU3" s="305"/>
      <c r="AV3" s="305"/>
      <c r="AW3" s="305">
        <v>6.5010000000000003</v>
      </c>
      <c r="AX3" s="305"/>
      <c r="AY3" s="305"/>
      <c r="AZ3" s="305"/>
      <c r="BA3" s="305" t="s">
        <v>233</v>
      </c>
      <c r="BB3" s="302"/>
      <c r="BC3" s="305">
        <v>0</v>
      </c>
      <c r="BD3" s="305">
        <v>0</v>
      </c>
      <c r="BE3" s="305">
        <v>0</v>
      </c>
      <c r="BF3" s="305">
        <v>5</v>
      </c>
      <c r="BG3" s="305">
        <v>0</v>
      </c>
      <c r="BH3" s="305">
        <v>0</v>
      </c>
      <c r="BI3" s="305">
        <v>0</v>
      </c>
      <c r="BJ3" s="305">
        <v>0</v>
      </c>
      <c r="BK3" s="305">
        <v>0</v>
      </c>
      <c r="BL3" s="305">
        <v>0</v>
      </c>
      <c r="BM3" s="305"/>
      <c r="BN3" s="305"/>
      <c r="BO3" s="305">
        <v>12</v>
      </c>
      <c r="BP3" s="305" t="s">
        <v>233</v>
      </c>
      <c r="BQ3" s="310"/>
      <c r="BR3" s="305"/>
      <c r="BS3" s="305"/>
      <c r="BT3" s="305"/>
      <c r="BU3" s="305"/>
      <c r="BV3" s="305"/>
      <c r="BW3" s="305" t="s">
        <v>233</v>
      </c>
      <c r="BX3" s="305">
        <v>1</v>
      </c>
      <c r="BY3" s="311"/>
      <c r="BZ3" s="302" t="s">
        <v>293</v>
      </c>
    </row>
    <row r="4" spans="1:78" ht="13" customHeight="1" x14ac:dyDescent="0.15">
      <c r="A4" s="302">
        <v>829</v>
      </c>
      <c r="B4" s="303">
        <v>43200</v>
      </c>
      <c r="C4" s="304" t="s">
        <v>230</v>
      </c>
      <c r="D4" s="302" t="s">
        <v>203</v>
      </c>
      <c r="E4" s="302"/>
      <c r="F4" s="302" t="s">
        <v>254</v>
      </c>
      <c r="G4" s="303">
        <v>42452</v>
      </c>
      <c r="H4" s="305" t="s">
        <v>221</v>
      </c>
      <c r="I4" s="305" t="s">
        <v>222</v>
      </c>
      <c r="J4" s="305"/>
      <c r="K4" s="302" t="s">
        <v>260</v>
      </c>
      <c r="L4" s="302" t="s">
        <v>285</v>
      </c>
      <c r="M4" s="306">
        <v>94.5</v>
      </c>
      <c r="N4" s="306">
        <v>31.399999999999995</v>
      </c>
      <c r="O4" s="55" t="s">
        <v>225</v>
      </c>
      <c r="P4" s="55">
        <v>500</v>
      </c>
      <c r="Q4" s="306">
        <v>23.2</v>
      </c>
      <c r="R4" s="302"/>
      <c r="S4" s="307"/>
      <c r="T4" s="308"/>
      <c r="U4" s="302"/>
      <c r="V4" s="307"/>
      <c r="W4" s="307"/>
      <c r="X4" s="302"/>
      <c r="Y4" s="302"/>
      <c r="Z4" s="302"/>
      <c r="AA4" s="302"/>
      <c r="AB4" s="302"/>
      <c r="AC4" s="302"/>
      <c r="AD4" s="302"/>
      <c r="AE4" s="307"/>
      <c r="AF4" s="307"/>
      <c r="AG4" s="302"/>
      <c r="AH4" s="302"/>
      <c r="AI4" s="307"/>
      <c r="AJ4" s="302"/>
      <c r="AK4" s="302"/>
      <c r="AL4" s="302"/>
      <c r="AM4" s="302"/>
      <c r="AN4" s="307"/>
      <c r="AO4" s="309"/>
      <c r="AP4" s="307"/>
      <c r="AQ4" s="307"/>
      <c r="AR4" s="302" t="s">
        <v>255</v>
      </c>
      <c r="AS4" s="305" t="s">
        <v>233</v>
      </c>
      <c r="AT4" s="305"/>
      <c r="AU4" s="305"/>
      <c r="AV4" s="305"/>
      <c r="AW4" s="305"/>
      <c r="AX4" s="305"/>
      <c r="AY4" s="305"/>
      <c r="AZ4" s="305"/>
      <c r="BA4" s="305" t="s">
        <v>233</v>
      </c>
      <c r="BB4" s="302"/>
      <c r="BC4" s="305">
        <v>0</v>
      </c>
      <c r="BD4" s="305">
        <v>0</v>
      </c>
      <c r="BE4" s="305">
        <v>3</v>
      </c>
      <c r="BF4" s="305">
        <v>0</v>
      </c>
      <c r="BG4" s="305">
        <v>0</v>
      </c>
      <c r="BH4" s="305">
        <v>0</v>
      </c>
      <c r="BI4" s="305">
        <v>0</v>
      </c>
      <c r="BJ4" s="305">
        <v>0</v>
      </c>
      <c r="BK4" s="305">
        <v>0</v>
      </c>
      <c r="BL4" s="305">
        <v>0</v>
      </c>
      <c r="BM4" s="305"/>
      <c r="BN4" s="305"/>
      <c r="BO4" s="305"/>
      <c r="BP4" s="305" t="s">
        <v>233</v>
      </c>
      <c r="BQ4" s="310"/>
      <c r="BR4" s="305"/>
      <c r="BS4" s="305"/>
      <c r="BT4" s="305"/>
      <c r="BU4" s="305"/>
      <c r="BV4" s="305"/>
      <c r="BW4" s="305" t="s">
        <v>233</v>
      </c>
      <c r="BX4" s="305">
        <v>1</v>
      </c>
      <c r="BY4" s="311"/>
      <c r="BZ4" s="302" t="s">
        <v>294</v>
      </c>
    </row>
    <row r="5" spans="1:78" x14ac:dyDescent="0.15">
      <c r="A5" s="302">
        <v>1920</v>
      </c>
      <c r="B5" s="303">
        <v>43200</v>
      </c>
      <c r="C5" s="304" t="s">
        <v>230</v>
      </c>
      <c r="D5" s="302" t="s">
        <v>203</v>
      </c>
      <c r="E5" s="302"/>
      <c r="F5" s="302" t="s">
        <v>254</v>
      </c>
      <c r="G5" s="303">
        <v>43040</v>
      </c>
      <c r="H5" s="305" t="s">
        <v>233</v>
      </c>
      <c r="I5" s="305" t="s">
        <v>295</v>
      </c>
      <c r="J5" s="305"/>
      <c r="K5" s="302" t="s">
        <v>296</v>
      </c>
      <c r="L5" s="302" t="s">
        <v>297</v>
      </c>
      <c r="M5" s="306">
        <v>82.954545454545453</v>
      </c>
      <c r="N5" s="306">
        <v>27.563636363636363</v>
      </c>
      <c r="O5" s="199" t="s">
        <v>225</v>
      </c>
      <c r="P5" s="199">
        <v>500</v>
      </c>
      <c r="Q5" s="306">
        <v>20.390909090909091</v>
      </c>
      <c r="R5" s="302"/>
      <c r="S5" s="307"/>
      <c r="T5" s="308"/>
      <c r="U5" s="302"/>
      <c r="V5" s="307"/>
      <c r="W5" s="307"/>
      <c r="X5" s="302"/>
      <c r="Y5" s="302"/>
      <c r="Z5" s="302"/>
      <c r="AA5" s="302"/>
      <c r="AB5" s="302"/>
      <c r="AC5" s="302"/>
      <c r="AD5" s="302"/>
      <c r="AE5" s="307"/>
      <c r="AF5" s="307"/>
      <c r="AG5" s="302"/>
      <c r="AH5" s="302"/>
      <c r="AI5" s="307"/>
      <c r="AJ5" s="302"/>
      <c r="AK5" s="302"/>
      <c r="AL5" s="302"/>
      <c r="AM5" s="302"/>
      <c r="AN5" s="307"/>
      <c r="AO5" s="309"/>
      <c r="AP5" s="307"/>
      <c r="AQ5" s="307"/>
      <c r="AR5" s="312" t="s">
        <v>255</v>
      </c>
      <c r="AS5" s="305" t="s">
        <v>233</v>
      </c>
      <c r="AT5" s="305"/>
      <c r="AU5" s="305"/>
      <c r="AV5" s="305"/>
      <c r="AW5" s="305"/>
      <c r="AX5" s="305"/>
      <c r="AY5" s="305"/>
      <c r="AZ5" s="305"/>
      <c r="BA5" s="305" t="s">
        <v>228</v>
      </c>
      <c r="BB5" s="302"/>
      <c r="BC5" s="305">
        <v>0</v>
      </c>
      <c r="BD5" s="305">
        <v>5</v>
      </c>
      <c r="BE5" s="305">
        <v>0</v>
      </c>
      <c r="BF5" s="305">
        <v>0</v>
      </c>
      <c r="BG5" s="305">
        <v>0</v>
      </c>
      <c r="BH5" s="305">
        <v>0</v>
      </c>
      <c r="BI5" s="305">
        <v>0</v>
      </c>
      <c r="BJ5" s="305">
        <v>0</v>
      </c>
      <c r="BK5" s="305">
        <v>0</v>
      </c>
      <c r="BL5" s="305">
        <v>0</v>
      </c>
      <c r="BM5" s="305"/>
      <c r="BN5" s="305"/>
      <c r="BO5" s="305"/>
      <c r="BP5" s="305" t="s">
        <v>233</v>
      </c>
      <c r="BQ5" s="310"/>
      <c r="BR5" s="305"/>
      <c r="BS5" s="305"/>
      <c r="BT5" s="311" t="s">
        <v>298</v>
      </c>
      <c r="BU5" s="311" t="s">
        <v>173</v>
      </c>
      <c r="BV5" s="305">
        <v>50</v>
      </c>
      <c r="BW5" s="305" t="s">
        <v>233</v>
      </c>
      <c r="BX5" s="305"/>
      <c r="BY5" s="311"/>
      <c r="BZ5" s="302" t="s">
        <v>299</v>
      </c>
    </row>
    <row r="6" spans="1:78" x14ac:dyDescent="0.15">
      <c r="A6" s="302">
        <v>594</v>
      </c>
      <c r="B6" s="303">
        <v>43200</v>
      </c>
      <c r="C6" s="304" t="s">
        <v>230</v>
      </c>
      <c r="D6" s="302" t="s">
        <v>203</v>
      </c>
      <c r="E6" s="302"/>
      <c r="F6" s="302" t="s">
        <v>254</v>
      </c>
      <c r="G6" s="303">
        <v>43176</v>
      </c>
      <c r="H6" s="305" t="s">
        <v>221</v>
      </c>
      <c r="I6" s="305" t="s">
        <v>222</v>
      </c>
      <c r="J6" s="305"/>
      <c r="K6" s="302" t="s">
        <v>280</v>
      </c>
      <c r="L6" s="302" t="s">
        <v>281</v>
      </c>
      <c r="M6" s="306">
        <v>77.272727272727266</v>
      </c>
      <c r="N6" s="306">
        <v>25.545454545454543</v>
      </c>
      <c r="O6" s="55" t="s">
        <v>225</v>
      </c>
      <c r="P6" s="55">
        <v>500</v>
      </c>
      <c r="Q6" s="306">
        <v>18.909090909090907</v>
      </c>
      <c r="R6" s="302"/>
      <c r="S6" s="307"/>
      <c r="T6" s="308"/>
      <c r="U6" s="302"/>
      <c r="V6" s="307"/>
      <c r="W6" s="307"/>
      <c r="X6" s="302"/>
      <c r="Y6" s="302"/>
      <c r="Z6" s="302"/>
      <c r="AA6" s="302"/>
      <c r="AB6" s="302"/>
      <c r="AC6" s="302"/>
      <c r="AD6" s="302"/>
      <c r="AE6" s="307"/>
      <c r="AF6" s="307"/>
      <c r="AG6" s="302"/>
      <c r="AH6" s="302"/>
      <c r="AI6" s="307"/>
      <c r="AJ6" s="302"/>
      <c r="AK6" s="302"/>
      <c r="AL6" s="302"/>
      <c r="AM6" s="302"/>
      <c r="AN6" s="307"/>
      <c r="AO6" s="309"/>
      <c r="AP6" s="307"/>
      <c r="AQ6" s="307"/>
      <c r="AR6" s="312" t="s">
        <v>255</v>
      </c>
      <c r="AS6" s="305" t="s">
        <v>233</v>
      </c>
      <c r="AT6" s="305"/>
      <c r="AU6" s="305"/>
      <c r="AV6" s="305"/>
      <c r="AW6" s="305">
        <v>6.6</v>
      </c>
      <c r="AX6" s="305"/>
      <c r="AY6" s="305"/>
      <c r="AZ6" s="305"/>
      <c r="BA6" s="305" t="s">
        <v>228</v>
      </c>
      <c r="BB6" s="302"/>
      <c r="BC6" s="305">
        <v>0</v>
      </c>
      <c r="BD6" s="305">
        <v>0</v>
      </c>
      <c r="BE6" s="305">
        <v>0</v>
      </c>
      <c r="BF6" s="305">
        <v>0</v>
      </c>
      <c r="BG6" s="305">
        <v>0</v>
      </c>
      <c r="BH6" s="305">
        <v>0</v>
      </c>
      <c r="BI6" s="305">
        <v>0</v>
      </c>
      <c r="BJ6" s="305">
        <v>0</v>
      </c>
      <c r="BK6" s="305">
        <v>0</v>
      </c>
      <c r="BL6" s="305">
        <v>0</v>
      </c>
      <c r="BM6" s="305"/>
      <c r="BN6" s="305"/>
      <c r="BO6" s="305"/>
      <c r="BP6" s="305" t="s">
        <v>233</v>
      </c>
      <c r="BQ6" s="313">
        <v>163.58181818181816</v>
      </c>
      <c r="BR6" s="305"/>
      <c r="BS6" s="305"/>
      <c r="BT6" s="305"/>
      <c r="BU6" s="305"/>
      <c r="BV6" s="305"/>
      <c r="BW6" s="305" t="s">
        <v>233</v>
      </c>
      <c r="BX6" s="305"/>
      <c r="BY6" s="311"/>
      <c r="BZ6" s="302" t="s">
        <v>300</v>
      </c>
    </row>
    <row r="7" spans="1:78" x14ac:dyDescent="0.15">
      <c r="A7" s="302">
        <v>954</v>
      </c>
      <c r="B7" s="303">
        <v>43200</v>
      </c>
      <c r="C7" s="304" t="s">
        <v>230</v>
      </c>
      <c r="D7" s="302" t="s">
        <v>203</v>
      </c>
      <c r="E7" s="302"/>
      <c r="F7" s="302" t="s">
        <v>254</v>
      </c>
      <c r="G7" s="303">
        <v>43014</v>
      </c>
      <c r="H7" s="305" t="s">
        <v>221</v>
      </c>
      <c r="I7" s="305" t="s">
        <v>222</v>
      </c>
      <c r="J7" s="305"/>
      <c r="K7" s="302" t="s">
        <v>301</v>
      </c>
      <c r="L7" s="302" t="s">
        <v>302</v>
      </c>
      <c r="M7" s="306">
        <v>82.818181818181813</v>
      </c>
      <c r="N7" s="306">
        <v>20.909090909090907</v>
      </c>
      <c r="O7" s="302"/>
      <c r="P7" s="302"/>
      <c r="Q7" s="307"/>
      <c r="R7" s="302"/>
      <c r="S7" s="307"/>
      <c r="T7" s="308"/>
      <c r="U7" s="302"/>
      <c r="V7" s="307"/>
      <c r="W7" s="307"/>
      <c r="X7" s="302"/>
      <c r="Y7" s="302"/>
      <c r="Z7" s="302"/>
      <c r="AA7" s="302"/>
      <c r="AB7" s="302"/>
      <c r="AC7" s="302"/>
      <c r="AD7" s="302"/>
      <c r="AE7" s="307"/>
      <c r="AF7" s="307"/>
      <c r="AG7" s="302"/>
      <c r="AH7" s="302"/>
      <c r="AI7" s="307"/>
      <c r="AJ7" s="302"/>
      <c r="AK7" s="302"/>
      <c r="AL7" s="302"/>
      <c r="AM7" s="302"/>
      <c r="AN7" s="307"/>
      <c r="AO7" s="309"/>
      <c r="AP7" s="307"/>
      <c r="AQ7" s="307"/>
      <c r="AR7" s="302" t="s">
        <v>255</v>
      </c>
      <c r="AS7" s="305" t="s">
        <v>233</v>
      </c>
      <c r="AT7" s="305"/>
      <c r="AU7" s="305"/>
      <c r="AV7" s="305"/>
      <c r="AW7" s="305">
        <v>7</v>
      </c>
      <c r="AX7" s="305"/>
      <c r="AY7" s="305"/>
      <c r="AZ7" s="305"/>
      <c r="BA7" s="305" t="s">
        <v>222</v>
      </c>
      <c r="BB7" s="302"/>
      <c r="BC7" s="305">
        <v>0</v>
      </c>
      <c r="BD7" s="305">
        <v>0</v>
      </c>
      <c r="BE7" s="305">
        <v>0</v>
      </c>
      <c r="BF7" s="305">
        <v>0</v>
      </c>
      <c r="BG7" s="305">
        <v>0</v>
      </c>
      <c r="BH7" s="305">
        <v>0</v>
      </c>
      <c r="BI7" s="305">
        <v>0</v>
      </c>
      <c r="BJ7" s="305">
        <v>0</v>
      </c>
      <c r="BK7" s="305">
        <v>0</v>
      </c>
      <c r="BL7" s="305">
        <v>0</v>
      </c>
      <c r="BM7" s="305"/>
      <c r="BN7" s="305"/>
      <c r="BO7" s="305"/>
      <c r="BP7" s="305" t="s">
        <v>233</v>
      </c>
      <c r="BQ7" s="310"/>
      <c r="BR7" s="305"/>
      <c r="BS7" s="305"/>
      <c r="BT7" s="305"/>
      <c r="BU7" s="305"/>
      <c r="BV7" s="305"/>
      <c r="BW7" s="305" t="s">
        <v>233</v>
      </c>
      <c r="BX7" s="305">
        <v>1</v>
      </c>
      <c r="BY7" s="311"/>
      <c r="BZ7" s="302" t="s">
        <v>279</v>
      </c>
    </row>
    <row r="8" spans="1:78" x14ac:dyDescent="0.15">
      <c r="A8" s="302">
        <v>220</v>
      </c>
      <c r="B8" s="303">
        <v>43200</v>
      </c>
      <c r="C8" s="304" t="s">
        <v>230</v>
      </c>
      <c r="D8" s="302" t="s">
        <v>203</v>
      </c>
      <c r="E8" s="302"/>
      <c r="F8" s="302" t="s">
        <v>240</v>
      </c>
      <c r="G8" s="303">
        <v>42917</v>
      </c>
      <c r="H8" s="305" t="s">
        <v>232</v>
      </c>
      <c r="I8" s="305" t="s">
        <v>233</v>
      </c>
      <c r="J8" s="305"/>
      <c r="K8" s="302" t="s">
        <v>234</v>
      </c>
      <c r="L8" s="302" t="s">
        <v>235</v>
      </c>
      <c r="M8" s="306">
        <v>97.827272727272714</v>
      </c>
      <c r="N8" s="306">
        <v>27.563636363636363</v>
      </c>
      <c r="O8" s="199" t="s">
        <v>225</v>
      </c>
      <c r="P8" s="199">
        <v>500</v>
      </c>
      <c r="Q8" s="306">
        <v>20.390909090909091</v>
      </c>
      <c r="R8" s="302"/>
      <c r="S8" s="307"/>
      <c r="T8" s="308"/>
      <c r="U8" s="302"/>
      <c r="V8" s="307"/>
      <c r="W8" s="307"/>
      <c r="X8" s="302"/>
      <c r="Y8" s="302"/>
      <c r="Z8" s="302"/>
      <c r="AA8" s="302"/>
      <c r="AB8" s="302"/>
      <c r="AC8" s="302"/>
      <c r="AD8" s="302"/>
      <c r="AE8" s="307"/>
      <c r="AF8" s="306">
        <v>13.054545454545453</v>
      </c>
      <c r="AG8" s="302"/>
      <c r="AH8" s="302"/>
      <c r="AI8" s="307"/>
      <c r="AJ8" s="302"/>
      <c r="AK8" s="302"/>
      <c r="AL8" s="302"/>
      <c r="AM8" s="302"/>
      <c r="AN8" s="307"/>
      <c r="AO8" s="309"/>
      <c r="AP8" s="307"/>
      <c r="AQ8" s="307"/>
      <c r="AR8" s="302" t="s">
        <v>264</v>
      </c>
      <c r="AS8" s="305" t="s">
        <v>233</v>
      </c>
      <c r="AT8" s="305"/>
      <c r="AU8" s="305"/>
      <c r="AV8" s="305"/>
      <c r="AW8" s="305">
        <v>6.5010000000000003</v>
      </c>
      <c r="AX8" s="305"/>
      <c r="AY8" s="305"/>
      <c r="AZ8" s="305"/>
      <c r="BA8" s="305" t="s">
        <v>239</v>
      </c>
      <c r="BB8" s="302"/>
      <c r="BC8" s="305">
        <v>0</v>
      </c>
      <c r="BD8" s="305">
        <v>0</v>
      </c>
      <c r="BE8" s="305">
        <v>0</v>
      </c>
      <c r="BF8" s="305">
        <v>0</v>
      </c>
      <c r="BG8" s="305">
        <v>0</v>
      </c>
      <c r="BH8" s="305">
        <v>0</v>
      </c>
      <c r="BI8" s="305">
        <v>0</v>
      </c>
      <c r="BJ8" s="305">
        <v>0</v>
      </c>
      <c r="BK8" s="305">
        <v>0</v>
      </c>
      <c r="BL8" s="305">
        <v>0</v>
      </c>
      <c r="BM8" s="305"/>
      <c r="BN8" s="305"/>
      <c r="BO8" s="305"/>
      <c r="BP8" s="305" t="s">
        <v>232</v>
      </c>
      <c r="BQ8" s="310"/>
      <c r="BR8" s="305"/>
      <c r="BS8" s="305"/>
      <c r="BT8" s="302" t="s">
        <v>229</v>
      </c>
      <c r="BU8" s="311" t="s">
        <v>173</v>
      </c>
      <c r="BV8" s="305">
        <v>20</v>
      </c>
      <c r="BW8" s="305" t="s">
        <v>233</v>
      </c>
      <c r="BX8" s="305"/>
      <c r="BY8" s="302"/>
      <c r="BZ8" s="302" t="s">
        <v>303</v>
      </c>
    </row>
    <row r="9" spans="1:78" ht="13" customHeight="1" x14ac:dyDescent="0.15">
      <c r="A9" s="302">
        <v>20</v>
      </c>
      <c r="B9" s="303">
        <v>43200</v>
      </c>
      <c r="C9" s="304" t="s">
        <v>230</v>
      </c>
      <c r="D9" s="302" t="s">
        <v>203</v>
      </c>
      <c r="E9" s="302"/>
      <c r="F9" s="302" t="s">
        <v>240</v>
      </c>
      <c r="G9" s="303">
        <v>43047</v>
      </c>
      <c r="H9" s="305" t="s">
        <v>221</v>
      </c>
      <c r="I9" s="305" t="s">
        <v>222</v>
      </c>
      <c r="J9" s="305"/>
      <c r="K9" s="302" t="s">
        <v>207</v>
      </c>
      <c r="L9" s="302" t="s">
        <v>208</v>
      </c>
      <c r="M9" s="306">
        <v>96.836363636363629</v>
      </c>
      <c r="N9" s="306">
        <v>26.18181818181818</v>
      </c>
      <c r="O9" s="55" t="s">
        <v>225</v>
      </c>
      <c r="P9" s="55">
        <v>500</v>
      </c>
      <c r="Q9" s="306">
        <v>19.363636363636363</v>
      </c>
      <c r="R9" s="302"/>
      <c r="S9" s="307"/>
      <c r="T9" s="308"/>
      <c r="U9" s="302"/>
      <c r="V9" s="307"/>
      <c r="W9" s="307"/>
      <c r="X9" s="302"/>
      <c r="Y9" s="302"/>
      <c r="Z9" s="302"/>
      <c r="AA9" s="302"/>
      <c r="AB9" s="302"/>
      <c r="AC9" s="302"/>
      <c r="AD9" s="302"/>
      <c r="AE9" s="307"/>
      <c r="AF9" s="306">
        <v>12.390909090909091</v>
      </c>
      <c r="AG9" s="302"/>
      <c r="AH9" s="302"/>
      <c r="AI9" s="307"/>
      <c r="AJ9" s="302"/>
      <c r="AK9" s="302"/>
      <c r="AL9" s="302"/>
      <c r="AM9" s="302"/>
      <c r="AN9" s="307"/>
      <c r="AO9" s="309"/>
      <c r="AP9" s="307"/>
      <c r="AQ9" s="307"/>
      <c r="AR9" s="312" t="s">
        <v>242</v>
      </c>
      <c r="AS9" s="305" t="s">
        <v>233</v>
      </c>
      <c r="AT9" s="305"/>
      <c r="AU9" s="305"/>
      <c r="AV9" s="305"/>
      <c r="AW9" s="305">
        <v>6.5010000000000003</v>
      </c>
      <c r="AX9" s="305"/>
      <c r="AY9" s="305"/>
      <c r="AZ9" s="305"/>
      <c r="BA9" s="305" t="s">
        <v>233</v>
      </c>
      <c r="BB9" s="302"/>
      <c r="BC9" s="305">
        <v>0</v>
      </c>
      <c r="BD9" s="305">
        <v>0</v>
      </c>
      <c r="BE9" s="305">
        <v>0</v>
      </c>
      <c r="BF9" s="305">
        <v>5</v>
      </c>
      <c r="BG9" s="305">
        <v>0</v>
      </c>
      <c r="BH9" s="305">
        <v>0</v>
      </c>
      <c r="BI9" s="305">
        <v>0</v>
      </c>
      <c r="BJ9" s="305">
        <v>0</v>
      </c>
      <c r="BK9" s="305">
        <v>0</v>
      </c>
      <c r="BL9" s="305">
        <v>0</v>
      </c>
      <c r="BM9" s="305"/>
      <c r="BN9" s="305"/>
      <c r="BO9" s="305">
        <v>12</v>
      </c>
      <c r="BP9" s="305" t="s">
        <v>233</v>
      </c>
      <c r="BQ9" s="310"/>
      <c r="BR9" s="305"/>
      <c r="BS9" s="305"/>
      <c r="BT9" s="305"/>
      <c r="BU9" s="305"/>
      <c r="BV9" s="305"/>
      <c r="BW9" s="305" t="s">
        <v>233</v>
      </c>
      <c r="BX9" s="305">
        <v>1</v>
      </c>
      <c r="BY9" s="311"/>
      <c r="BZ9" s="302" t="s">
        <v>299</v>
      </c>
    </row>
    <row r="10" spans="1:78" ht="13" customHeight="1" x14ac:dyDescent="0.15">
      <c r="A10" s="302">
        <v>1921</v>
      </c>
      <c r="B10" s="303">
        <v>43200</v>
      </c>
      <c r="C10" s="304" t="s">
        <v>230</v>
      </c>
      <c r="D10" s="302" t="s">
        <v>203</v>
      </c>
      <c r="E10" s="302"/>
      <c r="F10" s="302" t="s">
        <v>240</v>
      </c>
      <c r="G10" s="303">
        <v>43040</v>
      </c>
      <c r="H10" s="305" t="s">
        <v>233</v>
      </c>
      <c r="I10" s="305" t="s">
        <v>295</v>
      </c>
      <c r="J10" s="305"/>
      <c r="K10" s="302" t="s">
        <v>296</v>
      </c>
      <c r="L10" s="302" t="s">
        <v>297</v>
      </c>
      <c r="M10" s="306">
        <v>97.827272727272714</v>
      </c>
      <c r="N10" s="306">
        <v>27.563636363636363</v>
      </c>
      <c r="O10" s="199" t="s">
        <v>225</v>
      </c>
      <c r="P10" s="199">
        <v>500</v>
      </c>
      <c r="Q10" s="306">
        <v>20.390909090909091</v>
      </c>
      <c r="R10" s="302"/>
      <c r="S10" s="307"/>
      <c r="T10" s="308"/>
      <c r="U10" s="302"/>
      <c r="V10" s="307"/>
      <c r="W10" s="307"/>
      <c r="X10" s="302"/>
      <c r="Y10" s="302"/>
      <c r="Z10" s="302"/>
      <c r="AA10" s="302"/>
      <c r="AB10" s="302"/>
      <c r="AC10" s="302"/>
      <c r="AD10" s="302"/>
      <c r="AE10" s="307"/>
      <c r="AF10" s="306">
        <v>13.054545454545453</v>
      </c>
      <c r="AG10" s="302"/>
      <c r="AH10" s="302"/>
      <c r="AI10" s="307"/>
      <c r="AJ10" s="302"/>
      <c r="AK10" s="302"/>
      <c r="AL10" s="302"/>
      <c r="AM10" s="302"/>
      <c r="AN10" s="307"/>
      <c r="AO10" s="309"/>
      <c r="AP10" s="307"/>
      <c r="AQ10" s="307"/>
      <c r="AR10" s="312" t="s">
        <v>242</v>
      </c>
      <c r="AS10" s="305" t="s">
        <v>233</v>
      </c>
      <c r="AT10" s="305"/>
      <c r="AU10" s="305"/>
      <c r="AV10" s="305"/>
      <c r="AW10" s="305"/>
      <c r="AX10" s="305"/>
      <c r="AY10" s="305"/>
      <c r="AZ10" s="305"/>
      <c r="BA10" s="305" t="s">
        <v>228</v>
      </c>
      <c r="BB10" s="302"/>
      <c r="BC10" s="305">
        <v>0</v>
      </c>
      <c r="BD10" s="305">
        <v>5</v>
      </c>
      <c r="BE10" s="305">
        <v>0</v>
      </c>
      <c r="BF10" s="305">
        <v>0</v>
      </c>
      <c r="BG10" s="305">
        <v>0</v>
      </c>
      <c r="BH10" s="305">
        <v>0</v>
      </c>
      <c r="BI10" s="305">
        <v>0</v>
      </c>
      <c r="BJ10" s="305">
        <v>0</v>
      </c>
      <c r="BK10" s="305">
        <v>0</v>
      </c>
      <c r="BL10" s="305">
        <v>0</v>
      </c>
      <c r="BM10" s="305"/>
      <c r="BN10" s="305"/>
      <c r="BO10" s="305"/>
      <c r="BP10" s="305" t="s">
        <v>233</v>
      </c>
      <c r="BQ10" s="310"/>
      <c r="BR10" s="305"/>
      <c r="BS10" s="305"/>
      <c r="BT10" s="311" t="s">
        <v>298</v>
      </c>
      <c r="BU10" s="311" t="s">
        <v>173</v>
      </c>
      <c r="BV10" s="305">
        <v>50</v>
      </c>
      <c r="BW10" s="305" t="s">
        <v>233</v>
      </c>
      <c r="BX10" s="305"/>
      <c r="BY10" s="311"/>
      <c r="BZ10" s="302" t="s">
        <v>299</v>
      </c>
    </row>
    <row r="11" spans="1:78" ht="13" customHeight="1" x14ac:dyDescent="0.15">
      <c r="A11" s="302">
        <v>593</v>
      </c>
      <c r="B11" s="303">
        <v>43200</v>
      </c>
      <c r="C11" s="304" t="s">
        <v>230</v>
      </c>
      <c r="D11" s="302" t="s">
        <v>203</v>
      </c>
      <c r="E11" s="302"/>
      <c r="F11" s="302" t="s">
        <v>240</v>
      </c>
      <c r="G11" s="303">
        <v>43176</v>
      </c>
      <c r="H11" s="305" t="s">
        <v>221</v>
      </c>
      <c r="I11" s="305" t="s">
        <v>222</v>
      </c>
      <c r="J11" s="305"/>
      <c r="K11" s="302" t="s">
        <v>280</v>
      </c>
      <c r="L11" s="302" t="s">
        <v>281</v>
      </c>
      <c r="M11" s="306">
        <v>91.818181818181813</v>
      </c>
      <c r="N11" s="306">
        <v>25.545454545454543</v>
      </c>
      <c r="O11" s="55" t="s">
        <v>225</v>
      </c>
      <c r="P11" s="55">
        <v>500</v>
      </c>
      <c r="Q11" s="306">
        <v>18.909090909090907</v>
      </c>
      <c r="R11" s="302"/>
      <c r="S11" s="307"/>
      <c r="T11" s="308"/>
      <c r="U11" s="302"/>
      <c r="V11" s="307"/>
      <c r="W11" s="307"/>
      <c r="X11" s="302"/>
      <c r="Y11" s="302"/>
      <c r="Z11" s="302"/>
      <c r="AA11" s="302"/>
      <c r="AB11" s="302"/>
      <c r="AC11" s="302"/>
      <c r="AD11" s="302"/>
      <c r="AE11" s="307"/>
      <c r="AF11" s="306">
        <v>14.545454545454545</v>
      </c>
      <c r="AG11" s="302"/>
      <c r="AH11" s="302"/>
      <c r="AI11" s="307"/>
      <c r="AJ11" s="302"/>
      <c r="AK11" s="302"/>
      <c r="AL11" s="302"/>
      <c r="AM11" s="302"/>
      <c r="AN11" s="307"/>
      <c r="AO11" s="309"/>
      <c r="AP11" s="307"/>
      <c r="AQ11" s="307"/>
      <c r="AR11" s="312" t="s">
        <v>242</v>
      </c>
      <c r="AS11" s="305" t="s">
        <v>233</v>
      </c>
      <c r="AT11" s="305"/>
      <c r="AU11" s="305"/>
      <c r="AV11" s="305"/>
      <c r="AW11" s="305">
        <v>6.6</v>
      </c>
      <c r="AX11" s="305"/>
      <c r="AY11" s="305"/>
      <c r="AZ11" s="305"/>
      <c r="BA11" s="305" t="s">
        <v>228</v>
      </c>
      <c r="BB11" s="302"/>
      <c r="BC11" s="305">
        <v>0</v>
      </c>
      <c r="BD11" s="305">
        <v>0</v>
      </c>
      <c r="BE11" s="305">
        <v>0</v>
      </c>
      <c r="BF11" s="305">
        <v>0</v>
      </c>
      <c r="BG11" s="305">
        <v>0</v>
      </c>
      <c r="BH11" s="305">
        <v>0</v>
      </c>
      <c r="BI11" s="305">
        <v>0</v>
      </c>
      <c r="BJ11" s="305">
        <v>0</v>
      </c>
      <c r="BK11" s="305">
        <v>0</v>
      </c>
      <c r="BL11" s="305">
        <v>0</v>
      </c>
      <c r="BM11" s="305"/>
      <c r="BN11" s="305"/>
      <c r="BO11" s="305"/>
      <c r="BP11" s="305" t="s">
        <v>233</v>
      </c>
      <c r="BQ11" s="313">
        <v>163.58181818181816</v>
      </c>
      <c r="BR11" s="305"/>
      <c r="BS11" s="305"/>
      <c r="BT11" s="305"/>
      <c r="BU11" s="305"/>
      <c r="BV11" s="305"/>
      <c r="BW11" s="305" t="s">
        <v>233</v>
      </c>
      <c r="BX11" s="305"/>
      <c r="BY11" s="311"/>
      <c r="BZ11" s="302" t="s">
        <v>304</v>
      </c>
    </row>
    <row r="12" spans="1:78" ht="13" customHeight="1" x14ac:dyDescent="0.15">
      <c r="A12" s="302">
        <v>223</v>
      </c>
      <c r="B12" s="303">
        <v>43200</v>
      </c>
      <c r="C12" s="304" t="s">
        <v>230</v>
      </c>
      <c r="D12" s="302" t="s">
        <v>203</v>
      </c>
      <c r="E12" s="302"/>
      <c r="F12" s="302" t="s">
        <v>231</v>
      </c>
      <c r="G12" s="303">
        <v>42917</v>
      </c>
      <c r="H12" s="305" t="s">
        <v>232</v>
      </c>
      <c r="I12" s="305" t="s">
        <v>233</v>
      </c>
      <c r="J12" s="305"/>
      <c r="K12" s="302" t="s">
        <v>234</v>
      </c>
      <c r="L12" s="302" t="s">
        <v>235</v>
      </c>
      <c r="M12" s="306">
        <v>89.854545454545445</v>
      </c>
      <c r="N12" s="306">
        <v>22.68181818181818</v>
      </c>
      <c r="O12" s="302"/>
      <c r="P12" s="302"/>
      <c r="Q12" s="307"/>
      <c r="R12" s="302"/>
      <c r="S12" s="307"/>
      <c r="T12" s="308"/>
      <c r="U12" s="302"/>
      <c r="V12" s="307"/>
      <c r="W12" s="306">
        <v>9.5909090909090899</v>
      </c>
      <c r="X12" s="302"/>
      <c r="Y12" s="302"/>
      <c r="Z12" s="302"/>
      <c r="AA12" s="302"/>
      <c r="AB12" s="302"/>
      <c r="AC12" s="302"/>
      <c r="AD12" s="302"/>
      <c r="AE12" s="307"/>
      <c r="AF12" s="307"/>
      <c r="AG12" s="302"/>
      <c r="AH12" s="302"/>
      <c r="AI12" s="306">
        <v>16.390909090909091</v>
      </c>
      <c r="AJ12" s="302"/>
      <c r="AK12" s="302"/>
      <c r="AL12" s="302"/>
      <c r="AM12" s="302"/>
      <c r="AN12" s="307"/>
      <c r="AO12" s="309"/>
      <c r="AP12" s="307"/>
      <c r="AQ12" s="307"/>
      <c r="AR12" s="302" t="s">
        <v>237</v>
      </c>
      <c r="AS12" s="305" t="s">
        <v>233</v>
      </c>
      <c r="AT12" s="305"/>
      <c r="AU12" s="305"/>
      <c r="AV12" s="305"/>
      <c r="AW12" s="305">
        <v>6.5010000000000003</v>
      </c>
      <c r="AX12" s="305"/>
      <c r="AY12" s="305"/>
      <c r="AZ12" s="305"/>
      <c r="BA12" s="305" t="s">
        <v>239</v>
      </c>
      <c r="BB12" s="302"/>
      <c r="BC12" s="305">
        <v>0</v>
      </c>
      <c r="BD12" s="305">
        <v>0</v>
      </c>
      <c r="BE12" s="305">
        <v>0</v>
      </c>
      <c r="BF12" s="305">
        <v>0</v>
      </c>
      <c r="BG12" s="305">
        <v>0</v>
      </c>
      <c r="BH12" s="305">
        <v>0</v>
      </c>
      <c r="BI12" s="305">
        <v>0</v>
      </c>
      <c r="BJ12" s="305">
        <v>0</v>
      </c>
      <c r="BK12" s="305">
        <v>0</v>
      </c>
      <c r="BL12" s="305">
        <v>0</v>
      </c>
      <c r="BM12" s="305"/>
      <c r="BN12" s="305"/>
      <c r="BO12" s="305"/>
      <c r="BP12" s="305" t="s">
        <v>221</v>
      </c>
      <c r="BQ12" s="310"/>
      <c r="BR12" s="305"/>
      <c r="BS12" s="305"/>
      <c r="BT12" s="302" t="s">
        <v>229</v>
      </c>
      <c r="BU12" s="311" t="s">
        <v>173</v>
      </c>
      <c r="BV12" s="305">
        <v>20</v>
      </c>
      <c r="BW12" s="305" t="s">
        <v>233</v>
      </c>
      <c r="BX12" s="305"/>
      <c r="BY12" s="302"/>
      <c r="BZ12" s="302" t="s">
        <v>305</v>
      </c>
    </row>
    <row r="13" spans="1:78" ht="13" customHeight="1" x14ac:dyDescent="0.15">
      <c r="A13" s="302">
        <v>22</v>
      </c>
      <c r="B13" s="303">
        <v>43200</v>
      </c>
      <c r="C13" s="304" t="s">
        <v>230</v>
      </c>
      <c r="D13" s="302" t="s">
        <v>203</v>
      </c>
      <c r="E13" s="302"/>
      <c r="F13" s="302" t="s">
        <v>231</v>
      </c>
      <c r="G13" s="303">
        <v>43047</v>
      </c>
      <c r="H13" s="305" t="s">
        <v>221</v>
      </c>
      <c r="I13" s="305" t="s">
        <v>222</v>
      </c>
      <c r="J13" s="305"/>
      <c r="K13" s="302" t="s">
        <v>207</v>
      </c>
      <c r="L13" s="302" t="s">
        <v>208</v>
      </c>
      <c r="M13" s="306">
        <v>88.954545454545439</v>
      </c>
      <c r="N13" s="306">
        <v>21.527272727272724</v>
      </c>
      <c r="O13" s="302"/>
      <c r="P13" s="302"/>
      <c r="Q13" s="307"/>
      <c r="R13" s="302"/>
      <c r="S13" s="307"/>
      <c r="T13" s="308"/>
      <c r="U13" s="302"/>
      <c r="V13" s="307"/>
      <c r="W13" s="306">
        <v>9.1</v>
      </c>
      <c r="X13" s="302"/>
      <c r="Y13" s="302"/>
      <c r="Z13" s="302"/>
      <c r="AA13" s="302"/>
      <c r="AB13" s="302"/>
      <c r="AC13" s="302"/>
      <c r="AD13" s="302"/>
      <c r="AE13" s="307"/>
      <c r="AF13" s="307"/>
      <c r="AG13" s="302"/>
      <c r="AH13" s="302"/>
      <c r="AI13" s="306">
        <v>15.572727272727271</v>
      </c>
      <c r="AJ13" s="302"/>
      <c r="AK13" s="302"/>
      <c r="AL13" s="302"/>
      <c r="AM13" s="302"/>
      <c r="AN13" s="307"/>
      <c r="AO13" s="309"/>
      <c r="AP13" s="307"/>
      <c r="AQ13" s="307"/>
      <c r="AR13" s="302" t="s">
        <v>237</v>
      </c>
      <c r="AS13" s="305" t="s">
        <v>233</v>
      </c>
      <c r="AT13" s="305"/>
      <c r="AU13" s="305"/>
      <c r="AV13" s="305"/>
      <c r="AW13" s="305">
        <v>6.5010000000000003</v>
      </c>
      <c r="AX13" s="305"/>
      <c r="AY13" s="305"/>
      <c r="AZ13" s="305"/>
      <c r="BA13" s="305" t="s">
        <v>233</v>
      </c>
      <c r="BB13" s="302"/>
      <c r="BC13" s="305">
        <v>0</v>
      </c>
      <c r="BD13" s="305">
        <v>0</v>
      </c>
      <c r="BE13" s="305">
        <v>0</v>
      </c>
      <c r="BF13" s="305">
        <v>5</v>
      </c>
      <c r="BG13" s="305">
        <v>0</v>
      </c>
      <c r="BH13" s="305">
        <v>0</v>
      </c>
      <c r="BI13" s="305">
        <v>0</v>
      </c>
      <c r="BJ13" s="305">
        <v>0</v>
      </c>
      <c r="BK13" s="305">
        <v>0</v>
      </c>
      <c r="BL13" s="305">
        <v>0</v>
      </c>
      <c r="BM13" s="305"/>
      <c r="BN13" s="305"/>
      <c r="BO13" s="305">
        <v>12</v>
      </c>
      <c r="BP13" s="305" t="s">
        <v>233</v>
      </c>
      <c r="BQ13" s="310"/>
      <c r="BR13" s="305"/>
      <c r="BS13" s="305"/>
      <c r="BT13" s="305"/>
      <c r="BU13" s="305"/>
      <c r="BV13" s="305"/>
      <c r="BW13" s="305" t="s">
        <v>233</v>
      </c>
      <c r="BX13" s="305">
        <v>1</v>
      </c>
      <c r="BY13" s="311"/>
      <c r="BZ13" s="302" t="s">
        <v>306</v>
      </c>
    </row>
    <row r="14" spans="1:78" x14ac:dyDescent="0.15">
      <c r="A14" s="302">
        <v>1922</v>
      </c>
      <c r="B14" s="303">
        <v>43200</v>
      </c>
      <c r="C14" s="304" t="s">
        <v>230</v>
      </c>
      <c r="D14" s="302" t="s">
        <v>203</v>
      </c>
      <c r="E14" s="302"/>
      <c r="F14" s="302" t="s">
        <v>231</v>
      </c>
      <c r="G14" s="303">
        <v>43040</v>
      </c>
      <c r="H14" s="305" t="s">
        <v>233</v>
      </c>
      <c r="I14" s="305" t="s">
        <v>295</v>
      </c>
      <c r="J14" s="305"/>
      <c r="K14" s="302" t="s">
        <v>296</v>
      </c>
      <c r="L14" s="302" t="s">
        <v>297</v>
      </c>
      <c r="M14" s="306">
        <v>89.854545454545445</v>
      </c>
      <c r="N14" s="306">
        <v>22.68181818181818</v>
      </c>
      <c r="O14" s="302"/>
      <c r="P14" s="302"/>
      <c r="Q14" s="307"/>
      <c r="R14" s="302"/>
      <c r="S14" s="307"/>
      <c r="T14" s="308"/>
      <c r="U14" s="302"/>
      <c r="V14" s="307"/>
      <c r="W14" s="306">
        <v>9.5909090909090899</v>
      </c>
      <c r="X14" s="302"/>
      <c r="Y14" s="302"/>
      <c r="Z14" s="302"/>
      <c r="AA14" s="302"/>
      <c r="AB14" s="302"/>
      <c r="AC14" s="302"/>
      <c r="AD14" s="302"/>
      <c r="AE14" s="307"/>
      <c r="AF14" s="307"/>
      <c r="AG14" s="302"/>
      <c r="AH14" s="302"/>
      <c r="AI14" s="306">
        <v>16.390909090909091</v>
      </c>
      <c r="AJ14" s="302"/>
      <c r="AK14" s="302"/>
      <c r="AL14" s="302"/>
      <c r="AM14" s="302"/>
      <c r="AN14" s="307"/>
      <c r="AO14" s="309"/>
      <c r="AP14" s="307"/>
      <c r="AQ14" s="307"/>
      <c r="AR14" s="302" t="s">
        <v>237</v>
      </c>
      <c r="AS14" s="305" t="s">
        <v>233</v>
      </c>
      <c r="AT14" s="305"/>
      <c r="AU14" s="305"/>
      <c r="AV14" s="305"/>
      <c r="AW14" s="305"/>
      <c r="AX14" s="305"/>
      <c r="AY14" s="305"/>
      <c r="AZ14" s="305"/>
      <c r="BA14" s="305" t="s">
        <v>228</v>
      </c>
      <c r="BB14" s="302"/>
      <c r="BC14" s="305">
        <v>0</v>
      </c>
      <c r="BD14" s="305">
        <v>5</v>
      </c>
      <c r="BE14" s="305">
        <v>0</v>
      </c>
      <c r="BF14" s="305">
        <v>0</v>
      </c>
      <c r="BG14" s="305">
        <v>0</v>
      </c>
      <c r="BH14" s="305">
        <v>0</v>
      </c>
      <c r="BI14" s="305">
        <v>0</v>
      </c>
      <c r="BJ14" s="305">
        <v>0</v>
      </c>
      <c r="BK14" s="305">
        <v>0</v>
      </c>
      <c r="BL14" s="305">
        <v>0</v>
      </c>
      <c r="BM14" s="305"/>
      <c r="BN14" s="305"/>
      <c r="BO14" s="305"/>
      <c r="BP14" s="305" t="s">
        <v>233</v>
      </c>
      <c r="BQ14" s="310"/>
      <c r="BR14" s="305"/>
      <c r="BS14" s="305"/>
      <c r="BT14" s="311" t="s">
        <v>298</v>
      </c>
      <c r="BU14" s="311" t="s">
        <v>173</v>
      </c>
      <c r="BV14" s="305">
        <v>50</v>
      </c>
      <c r="BW14" s="305" t="s">
        <v>233</v>
      </c>
      <c r="BX14" s="305"/>
      <c r="BY14" s="311"/>
      <c r="BZ14" s="302" t="s">
        <v>299</v>
      </c>
    </row>
    <row r="15" spans="1:78" x14ac:dyDescent="0.15">
      <c r="A15" s="302">
        <v>595</v>
      </c>
      <c r="B15" s="303">
        <v>43200</v>
      </c>
      <c r="C15" s="304" t="s">
        <v>230</v>
      </c>
      <c r="D15" s="302" t="s">
        <v>203</v>
      </c>
      <c r="E15" s="302"/>
      <c r="F15" s="302" t="s">
        <v>231</v>
      </c>
      <c r="G15" s="303">
        <v>43176</v>
      </c>
      <c r="H15" s="305" t="s">
        <v>221</v>
      </c>
      <c r="I15" s="305" t="s">
        <v>222</v>
      </c>
      <c r="J15" s="305"/>
      <c r="K15" s="302" t="s">
        <v>280</v>
      </c>
      <c r="L15" s="302" t="s">
        <v>281</v>
      </c>
      <c r="M15" s="306">
        <v>84.545454545454533</v>
      </c>
      <c r="N15" s="306">
        <v>20.909090909090907</v>
      </c>
      <c r="O15" s="302"/>
      <c r="P15" s="302"/>
      <c r="Q15" s="307"/>
      <c r="R15" s="302"/>
      <c r="S15" s="307"/>
      <c r="T15" s="308"/>
      <c r="U15" s="302"/>
      <c r="V15" s="307"/>
      <c r="W15" s="306">
        <v>9.0909090909090899</v>
      </c>
      <c r="X15" s="302"/>
      <c r="Y15" s="302"/>
      <c r="Z15" s="302"/>
      <c r="AA15" s="302"/>
      <c r="AB15" s="302"/>
      <c r="AC15" s="302"/>
      <c r="AD15" s="302"/>
      <c r="AE15" s="307"/>
      <c r="AF15" s="307"/>
      <c r="AG15" s="302"/>
      <c r="AH15" s="302"/>
      <c r="AI15" s="306">
        <v>15.454545454545453</v>
      </c>
      <c r="AJ15" s="302"/>
      <c r="AK15" s="302"/>
      <c r="AL15" s="302"/>
      <c r="AM15" s="302"/>
      <c r="AN15" s="307"/>
      <c r="AO15" s="309"/>
      <c r="AP15" s="307"/>
      <c r="AQ15" s="307"/>
      <c r="AR15" s="302" t="s">
        <v>237</v>
      </c>
      <c r="AS15" s="305" t="s">
        <v>233</v>
      </c>
      <c r="AT15" s="305"/>
      <c r="AU15" s="305"/>
      <c r="AV15" s="305"/>
      <c r="AW15" s="305">
        <v>6.6</v>
      </c>
      <c r="AX15" s="305"/>
      <c r="AY15" s="305"/>
      <c r="AZ15" s="305"/>
      <c r="BA15" s="305" t="s">
        <v>228</v>
      </c>
      <c r="BB15" s="302"/>
      <c r="BC15" s="305">
        <v>0</v>
      </c>
      <c r="BD15" s="305">
        <v>0</v>
      </c>
      <c r="BE15" s="305">
        <v>0</v>
      </c>
      <c r="BF15" s="305">
        <v>0</v>
      </c>
      <c r="BG15" s="305">
        <v>0</v>
      </c>
      <c r="BH15" s="305">
        <v>0</v>
      </c>
      <c r="BI15" s="305">
        <v>0</v>
      </c>
      <c r="BJ15" s="305">
        <v>0</v>
      </c>
      <c r="BK15" s="305">
        <v>0</v>
      </c>
      <c r="BL15" s="305">
        <v>0</v>
      </c>
      <c r="BM15" s="305"/>
      <c r="BN15" s="305"/>
      <c r="BO15" s="305"/>
      <c r="BP15" s="305" t="s">
        <v>233</v>
      </c>
      <c r="BQ15" s="313">
        <v>163.58181818181816</v>
      </c>
      <c r="BR15" s="305"/>
      <c r="BS15" s="305"/>
      <c r="BT15" s="305"/>
      <c r="BU15" s="305"/>
      <c r="BV15" s="305"/>
      <c r="BW15" s="305" t="s">
        <v>233</v>
      </c>
      <c r="BX15" s="305"/>
      <c r="BY15" s="311"/>
      <c r="BZ15" s="302" t="s">
        <v>307</v>
      </c>
    </row>
    <row r="16" spans="1:78" x14ac:dyDescent="0.15">
      <c r="A16" s="302">
        <v>955</v>
      </c>
      <c r="B16" s="303">
        <v>43200</v>
      </c>
      <c r="C16" s="304" t="s">
        <v>230</v>
      </c>
      <c r="D16" s="302" t="s">
        <v>203</v>
      </c>
      <c r="E16" s="302"/>
      <c r="F16" s="302" t="s">
        <v>231</v>
      </c>
      <c r="G16" s="303">
        <v>43015</v>
      </c>
      <c r="H16" s="305" t="s">
        <v>221</v>
      </c>
      <c r="I16" s="305" t="s">
        <v>222</v>
      </c>
      <c r="J16" s="305"/>
      <c r="K16" s="302" t="s">
        <v>301</v>
      </c>
      <c r="L16" s="302" t="s">
        <v>302</v>
      </c>
      <c r="M16" s="306">
        <v>89.863636363636346</v>
      </c>
      <c r="N16" s="306">
        <v>21.536363636363635</v>
      </c>
      <c r="O16" s="302"/>
      <c r="P16" s="302"/>
      <c r="Q16" s="307"/>
      <c r="R16" s="302"/>
      <c r="S16" s="307"/>
      <c r="T16" s="308"/>
      <c r="U16" s="302"/>
      <c r="V16" s="307"/>
      <c r="W16" s="306">
        <v>10.009090909090908</v>
      </c>
      <c r="X16" s="302"/>
      <c r="Y16" s="302"/>
      <c r="Z16" s="302"/>
      <c r="AA16" s="302"/>
      <c r="AB16" s="302"/>
      <c r="AC16" s="302"/>
      <c r="AD16" s="302"/>
      <c r="AE16" s="307"/>
      <c r="AF16" s="307"/>
      <c r="AG16" s="302"/>
      <c r="AH16" s="302"/>
      <c r="AI16" s="306">
        <v>19.09090909090909</v>
      </c>
      <c r="AJ16" s="302"/>
      <c r="AK16" s="302"/>
      <c r="AL16" s="302"/>
      <c r="AM16" s="302"/>
      <c r="AN16" s="307"/>
      <c r="AO16" s="309"/>
      <c r="AP16" s="307"/>
      <c r="AQ16" s="307"/>
      <c r="AR16" s="302" t="s">
        <v>237</v>
      </c>
      <c r="AS16" s="305" t="s">
        <v>233</v>
      </c>
      <c r="AT16" s="305"/>
      <c r="AU16" s="305"/>
      <c r="AV16" s="305"/>
      <c r="AW16" s="305">
        <v>7</v>
      </c>
      <c r="AX16" s="305"/>
      <c r="AY16" s="305"/>
      <c r="AZ16" s="305"/>
      <c r="BA16" s="305" t="s">
        <v>222</v>
      </c>
      <c r="BB16" s="302"/>
      <c r="BC16" s="305">
        <v>0</v>
      </c>
      <c r="BD16" s="305">
        <v>0</v>
      </c>
      <c r="BE16" s="305">
        <v>0</v>
      </c>
      <c r="BF16" s="305">
        <v>0</v>
      </c>
      <c r="BG16" s="305">
        <v>0</v>
      </c>
      <c r="BH16" s="305">
        <v>0</v>
      </c>
      <c r="BI16" s="305">
        <v>0</v>
      </c>
      <c r="BJ16" s="305">
        <v>0</v>
      </c>
      <c r="BK16" s="305">
        <v>0</v>
      </c>
      <c r="BL16" s="305">
        <v>0</v>
      </c>
      <c r="BM16" s="305"/>
      <c r="BN16" s="305"/>
      <c r="BO16" s="305"/>
      <c r="BP16" s="305" t="s">
        <v>233</v>
      </c>
      <c r="BQ16" s="310"/>
      <c r="BR16" s="305"/>
      <c r="BS16" s="305"/>
      <c r="BT16" s="305"/>
      <c r="BU16" s="305"/>
      <c r="BV16" s="305"/>
      <c r="BW16" s="305" t="s">
        <v>233</v>
      </c>
      <c r="BX16" s="305">
        <v>1</v>
      </c>
      <c r="BY16" s="311"/>
      <c r="BZ16" s="302" t="s">
        <v>308</v>
      </c>
    </row>
  </sheetData>
  <sheetProtection algorithmName="SHA-512" hashValue="WTDu103imRdbAx4ztlR1/kr4LRFQPQxLufaOQerZ2Obu6/cZYFzhZUSUuaLNxGaqTM8iaCl+4rU731JVhd3Mow==" saltValue="jLkbojgxATFTUc9In89ynA==" spinCount="100000" sheet="1" objects="1" scenarios="1"/>
  <pageMargins left="0.75" right="0.75" top="1" bottom="1" header="0.5" footer="0.5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09AD5-D6E6-FD4F-AE54-B40E161389F4}">
  <sheetPr codeName="Sheet22"/>
  <dimension ref="A1:BZ15"/>
  <sheetViews>
    <sheetView zoomScale="90" zoomScaleNormal="90" zoomScalePageLayoutView="125" workbookViewId="0">
      <selection activeCell="AR11" sqref="AR11:AR1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250</v>
      </c>
      <c r="AO1" s="18" t="s">
        <v>111</v>
      </c>
      <c r="AP1" s="18" t="s">
        <v>112</v>
      </c>
      <c r="AQ1" s="18" t="s">
        <v>113</v>
      </c>
      <c r="AR1" s="19" t="s">
        <v>114</v>
      </c>
      <c r="AS1" s="20" t="s">
        <v>115</v>
      </c>
      <c r="AT1" s="20" t="s">
        <v>88</v>
      </c>
      <c r="AU1" s="21" t="s">
        <v>89</v>
      </c>
      <c r="AV1" s="22" t="s">
        <v>90</v>
      </c>
      <c r="AW1" s="23" t="s">
        <v>91</v>
      </c>
      <c r="AX1" s="22"/>
      <c r="AY1" s="22"/>
      <c r="AZ1" s="22"/>
      <c r="BA1" s="24" t="s">
        <v>92</v>
      </c>
      <c r="BB1" s="25" t="s">
        <v>93</v>
      </c>
      <c r="BC1" s="26" t="s">
        <v>94</v>
      </c>
      <c r="BD1" s="27" t="s">
        <v>123</v>
      </c>
      <c r="BE1" s="28" t="s">
        <v>124</v>
      </c>
      <c r="BF1" s="27" t="s">
        <v>125</v>
      </c>
      <c r="BG1" s="28" t="s">
        <v>135</v>
      </c>
      <c r="BH1" s="29" t="s">
        <v>136</v>
      </c>
      <c r="BI1" s="26" t="s">
        <v>137</v>
      </c>
      <c r="BJ1" s="30" t="s">
        <v>138</v>
      </c>
      <c r="BK1" s="26" t="s">
        <v>139</v>
      </c>
      <c r="BL1" s="30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74" t="s">
        <v>272</v>
      </c>
      <c r="BR1" s="8" t="s">
        <v>251</v>
      </c>
      <c r="BS1" s="8" t="s">
        <v>252</v>
      </c>
      <c r="BT1" s="31" t="s">
        <v>12</v>
      </c>
      <c r="BU1" s="31" t="s">
        <v>60</v>
      </c>
      <c r="BV1" s="32" t="s">
        <v>53</v>
      </c>
      <c r="BW1" s="32" t="s">
        <v>8</v>
      </c>
      <c r="BX1" s="8" t="s">
        <v>253</v>
      </c>
      <c r="BY1" s="31" t="s">
        <v>11</v>
      </c>
    </row>
    <row r="2" spans="1:78" x14ac:dyDescent="0.15">
      <c r="A2" s="54">
        <v>1930</v>
      </c>
      <c r="B2" s="250">
        <v>43036</v>
      </c>
      <c r="C2" s="1" t="s">
        <v>219</v>
      </c>
      <c r="D2" s="179" t="s">
        <v>203</v>
      </c>
      <c r="E2" s="2"/>
      <c r="F2" s="2" t="s">
        <v>220</v>
      </c>
      <c r="G2" s="3">
        <v>42917</v>
      </c>
      <c r="H2" s="4" t="s">
        <v>221</v>
      </c>
      <c r="I2" s="4" t="s">
        <v>222</v>
      </c>
      <c r="J2" s="4"/>
      <c r="K2" s="55" t="s">
        <v>223</v>
      </c>
      <c r="L2" s="2" t="s">
        <v>224</v>
      </c>
      <c r="M2" s="291">
        <v>82.954545454545453</v>
      </c>
      <c r="N2" s="291">
        <v>27.563636363636363</v>
      </c>
      <c r="O2" s="2" t="s">
        <v>225</v>
      </c>
      <c r="P2" s="2">
        <v>500</v>
      </c>
      <c r="Q2" s="291">
        <v>20.390909090909091</v>
      </c>
      <c r="R2" s="2"/>
      <c r="S2" s="198"/>
      <c r="T2" s="180"/>
      <c r="U2" s="2"/>
      <c r="V2" s="198"/>
      <c r="W2" s="198"/>
      <c r="X2" s="2"/>
      <c r="Y2" s="2"/>
      <c r="Z2" s="2"/>
      <c r="AA2" s="2"/>
      <c r="AB2" s="2"/>
      <c r="AC2" s="2"/>
      <c r="AD2" s="2"/>
      <c r="AE2" s="198"/>
      <c r="AF2" s="198"/>
      <c r="AG2" s="2"/>
      <c r="AH2" s="2"/>
      <c r="AI2" s="198"/>
      <c r="AJ2" s="2"/>
      <c r="AK2" s="2"/>
      <c r="AL2" s="2"/>
      <c r="AM2" s="55"/>
      <c r="AN2" s="271"/>
      <c r="AO2" s="55"/>
      <c r="AP2" s="271"/>
      <c r="AQ2" s="271"/>
      <c r="AR2" s="181" t="s">
        <v>226</v>
      </c>
      <c r="AS2" s="55" t="s">
        <v>222</v>
      </c>
      <c r="AT2" s="56"/>
      <c r="AV2" s="56" t="s">
        <v>227</v>
      </c>
      <c r="AW2" s="4">
        <v>6.5010000000000003</v>
      </c>
      <c r="AX2" s="4"/>
      <c r="AY2" s="4"/>
      <c r="AZ2" s="4"/>
      <c r="BA2" s="4" t="s">
        <v>228</v>
      </c>
      <c r="BB2" s="56"/>
      <c r="BC2" s="55">
        <v>0</v>
      </c>
      <c r="BD2" s="56">
        <v>0</v>
      </c>
      <c r="BE2" s="56">
        <v>0</v>
      </c>
      <c r="BF2" s="4">
        <v>0</v>
      </c>
      <c r="BG2" s="56">
        <v>0</v>
      </c>
      <c r="BH2" s="56">
        <v>0</v>
      </c>
      <c r="BI2" s="56">
        <v>0</v>
      </c>
      <c r="BJ2" s="56">
        <v>0</v>
      </c>
      <c r="BK2" s="56">
        <v>0</v>
      </c>
      <c r="BL2" s="4">
        <v>0</v>
      </c>
      <c r="BM2" s="4"/>
      <c r="BN2" s="56" t="s">
        <v>222</v>
      </c>
      <c r="BO2" s="56"/>
      <c r="BP2" s="4" t="s">
        <v>221</v>
      </c>
      <c r="BQ2" s="4"/>
      <c r="BR2" s="4"/>
      <c r="BS2" s="4"/>
      <c r="BT2" s="4" t="s">
        <v>229</v>
      </c>
      <c r="BU2" s="2" t="s">
        <v>173</v>
      </c>
      <c r="BV2" s="57">
        <v>20</v>
      </c>
      <c r="BW2" s="4" t="s">
        <v>222</v>
      </c>
      <c r="BX2" s="56"/>
      <c r="BY2" s="56"/>
      <c r="BZ2" s="55" t="s">
        <v>283</v>
      </c>
    </row>
    <row r="3" spans="1:78" ht="13" customHeight="1" x14ac:dyDescent="0.15">
      <c r="A3" s="54">
        <v>4941</v>
      </c>
      <c r="B3" s="250">
        <v>43036</v>
      </c>
      <c r="C3" s="201" t="s">
        <v>219</v>
      </c>
      <c r="D3" s="199" t="s">
        <v>203</v>
      </c>
      <c r="E3" s="199"/>
      <c r="F3" s="199" t="s">
        <v>220</v>
      </c>
      <c r="G3" s="200">
        <v>42916</v>
      </c>
      <c r="H3" s="202" t="s">
        <v>221</v>
      </c>
      <c r="I3" s="202" t="s">
        <v>222</v>
      </c>
      <c r="J3" s="202"/>
      <c r="K3" s="199" t="s">
        <v>207</v>
      </c>
      <c r="L3" s="199" t="s">
        <v>208</v>
      </c>
      <c r="M3" s="291">
        <v>82.954545454545453</v>
      </c>
      <c r="N3" s="291">
        <v>27.563636363636363</v>
      </c>
      <c r="O3" s="199" t="s">
        <v>225</v>
      </c>
      <c r="P3" s="199">
        <v>500</v>
      </c>
      <c r="Q3" s="291">
        <v>20.381818181818183</v>
      </c>
      <c r="R3" s="199"/>
      <c r="S3" s="247"/>
      <c r="T3" s="204"/>
      <c r="U3" s="199"/>
      <c r="V3" s="247"/>
      <c r="W3" s="247"/>
      <c r="X3" s="199"/>
      <c r="Y3" s="199"/>
      <c r="Z3" s="199"/>
      <c r="AA3" s="199"/>
      <c r="AB3" s="199"/>
      <c r="AC3" s="199"/>
      <c r="AD3" s="199"/>
      <c r="AE3" s="247"/>
      <c r="AF3" s="247"/>
      <c r="AG3" s="199"/>
      <c r="AH3" s="199"/>
      <c r="AI3" s="247"/>
      <c r="AJ3" s="199"/>
      <c r="AK3" s="199"/>
      <c r="AL3" s="199"/>
      <c r="AM3" s="199"/>
      <c r="AN3" s="203"/>
      <c r="AO3" s="248"/>
      <c r="AP3" s="247"/>
      <c r="AQ3" s="247"/>
      <c r="AR3" s="199" t="s">
        <v>226</v>
      </c>
      <c r="AS3" s="199" t="s">
        <v>222</v>
      </c>
      <c r="AT3" s="202"/>
      <c r="AU3" s="202"/>
      <c r="AV3" s="202" t="s">
        <v>227</v>
      </c>
      <c r="AW3" s="4">
        <v>6.5010000000000003</v>
      </c>
      <c r="AX3" s="202"/>
      <c r="AY3" s="202"/>
      <c r="AZ3" s="202"/>
      <c r="BA3" s="202" t="s">
        <v>222</v>
      </c>
      <c r="BB3" s="202"/>
      <c r="BC3" s="199">
        <v>0</v>
      </c>
      <c r="BD3" s="202">
        <v>0</v>
      </c>
      <c r="BE3" s="202">
        <v>0</v>
      </c>
      <c r="BF3" s="202">
        <v>5</v>
      </c>
      <c r="BG3" s="202">
        <v>0</v>
      </c>
      <c r="BH3" s="202">
        <v>0</v>
      </c>
      <c r="BI3" s="202">
        <v>0</v>
      </c>
      <c r="BJ3" s="202">
        <v>0</v>
      </c>
      <c r="BK3" s="202">
        <v>0</v>
      </c>
      <c r="BL3" s="202">
        <v>0</v>
      </c>
      <c r="BM3" s="202"/>
      <c r="BN3" s="202"/>
      <c r="BO3" s="202">
        <v>12</v>
      </c>
      <c r="BP3" s="202" t="s">
        <v>222</v>
      </c>
      <c r="BQ3" s="202"/>
      <c r="BR3" s="202"/>
      <c r="BS3" s="202"/>
      <c r="BT3" s="202"/>
      <c r="BU3" s="202"/>
      <c r="BV3" s="202"/>
      <c r="BW3" s="202" t="s">
        <v>222</v>
      </c>
      <c r="BX3" s="202">
        <v>1</v>
      </c>
      <c r="BY3" s="202"/>
      <c r="BZ3" s="205" t="s">
        <v>284</v>
      </c>
    </row>
    <row r="4" spans="1:78" ht="13" customHeight="1" x14ac:dyDescent="0.15">
      <c r="A4" s="54">
        <v>90</v>
      </c>
      <c r="B4" s="250">
        <v>43036</v>
      </c>
      <c r="C4" s="201" t="s">
        <v>219</v>
      </c>
      <c r="D4" s="199" t="s">
        <v>203</v>
      </c>
      <c r="E4" s="199"/>
      <c r="F4" s="199" t="s">
        <v>220</v>
      </c>
      <c r="G4" s="200">
        <v>42452</v>
      </c>
      <c r="H4" s="202" t="s">
        <v>221</v>
      </c>
      <c r="I4" s="202" t="s">
        <v>222</v>
      </c>
      <c r="J4" s="202"/>
      <c r="K4" s="199" t="s">
        <v>260</v>
      </c>
      <c r="L4" s="199" t="s">
        <v>285</v>
      </c>
      <c r="M4" s="291">
        <v>85.909090909090907</v>
      </c>
      <c r="N4" s="291">
        <v>28.54545454545454</v>
      </c>
      <c r="O4" s="199" t="s">
        <v>225</v>
      </c>
      <c r="P4" s="199">
        <v>500</v>
      </c>
      <c r="Q4" s="291">
        <v>21.09090909090909</v>
      </c>
      <c r="R4" s="199"/>
      <c r="S4" s="247"/>
      <c r="T4" s="204"/>
      <c r="U4" s="199"/>
      <c r="V4" s="247"/>
      <c r="W4" s="247"/>
      <c r="X4" s="199"/>
      <c r="Y4" s="199"/>
      <c r="Z4" s="199"/>
      <c r="AA4" s="199"/>
      <c r="AB4" s="199"/>
      <c r="AC4" s="199"/>
      <c r="AD4" s="199"/>
      <c r="AE4" s="247"/>
      <c r="AF4" s="247"/>
      <c r="AG4" s="199"/>
      <c r="AH4" s="199"/>
      <c r="AI4" s="247"/>
      <c r="AJ4" s="199"/>
      <c r="AK4" s="199"/>
      <c r="AL4" s="199"/>
      <c r="AM4" s="199"/>
      <c r="AN4" s="203"/>
      <c r="AO4" s="248"/>
      <c r="AP4" s="247"/>
      <c r="AQ4" s="247"/>
      <c r="AR4" s="199" t="s">
        <v>226</v>
      </c>
      <c r="AS4" s="199" t="s">
        <v>222</v>
      </c>
      <c r="AT4" s="202"/>
      <c r="AU4" s="270"/>
      <c r="AV4" s="202"/>
      <c r="AW4" s="202"/>
      <c r="AX4" s="202"/>
      <c r="AY4" s="202"/>
      <c r="AZ4" s="202"/>
      <c r="BA4" s="202" t="s">
        <v>222</v>
      </c>
      <c r="BB4" s="202"/>
      <c r="BC4" s="199">
        <v>0</v>
      </c>
      <c r="BD4" s="202">
        <v>0</v>
      </c>
      <c r="BE4" s="202">
        <v>3</v>
      </c>
      <c r="BF4" s="202">
        <v>0</v>
      </c>
      <c r="BG4" s="202">
        <v>0</v>
      </c>
      <c r="BH4" s="202">
        <v>0</v>
      </c>
      <c r="BI4" s="202">
        <v>0</v>
      </c>
      <c r="BJ4" s="202">
        <v>0</v>
      </c>
      <c r="BK4" s="202">
        <v>0</v>
      </c>
      <c r="BL4" s="202">
        <v>0</v>
      </c>
      <c r="BM4" s="202"/>
      <c r="BN4" s="202" t="s">
        <v>222</v>
      </c>
      <c r="BO4" s="202"/>
      <c r="BP4" s="202" t="s">
        <v>222</v>
      </c>
      <c r="BQ4" s="202"/>
      <c r="BR4" s="202"/>
      <c r="BS4" s="202"/>
      <c r="BT4" s="202"/>
      <c r="BU4" s="202"/>
      <c r="BV4" s="202"/>
      <c r="BW4" s="202" t="s">
        <v>222</v>
      </c>
      <c r="BX4" s="202">
        <v>1</v>
      </c>
      <c r="BY4" s="202"/>
      <c r="BZ4" s="282" t="s">
        <v>262</v>
      </c>
    </row>
    <row r="5" spans="1:78" x14ac:dyDescent="0.15">
      <c r="A5" s="54">
        <v>1930</v>
      </c>
      <c r="B5" s="250">
        <v>43036</v>
      </c>
      <c r="C5" s="1" t="s">
        <v>219</v>
      </c>
      <c r="D5" s="179" t="s">
        <v>203</v>
      </c>
      <c r="E5" s="2"/>
      <c r="F5" s="2" t="s">
        <v>220</v>
      </c>
      <c r="G5" s="3">
        <v>43025</v>
      </c>
      <c r="H5" s="4" t="s">
        <v>221</v>
      </c>
      <c r="I5" s="4" t="s">
        <v>222</v>
      </c>
      <c r="J5" s="4"/>
      <c r="K5" s="181" t="s">
        <v>274</v>
      </c>
      <c r="L5" s="179" t="s">
        <v>275</v>
      </c>
      <c r="M5" s="291">
        <v>82.954545454545453</v>
      </c>
      <c r="N5" s="291">
        <v>27.563636363636363</v>
      </c>
      <c r="O5" s="2" t="s">
        <v>225</v>
      </c>
      <c r="P5" s="2">
        <v>500</v>
      </c>
      <c r="Q5" s="291">
        <v>20.390909090909091</v>
      </c>
      <c r="R5" s="2"/>
      <c r="S5" s="198"/>
      <c r="T5" s="180"/>
      <c r="U5" s="2"/>
      <c r="V5" s="198"/>
      <c r="W5" s="198"/>
      <c r="X5" s="2"/>
      <c r="Y5" s="2"/>
      <c r="Z5" s="2"/>
      <c r="AA5" s="2"/>
      <c r="AB5" s="2"/>
      <c r="AC5" s="2"/>
      <c r="AD5" s="2"/>
      <c r="AE5" s="198"/>
      <c r="AF5" s="198"/>
      <c r="AG5" s="2"/>
      <c r="AH5" s="2"/>
      <c r="AI5" s="198"/>
      <c r="AJ5" s="2"/>
      <c r="AK5" s="2"/>
      <c r="AL5" s="2"/>
      <c r="AM5" s="55"/>
      <c r="AN5" s="271"/>
      <c r="AO5" s="55"/>
      <c r="AP5" s="271"/>
      <c r="AQ5" s="271"/>
      <c r="AR5" s="181" t="s">
        <v>226</v>
      </c>
      <c r="AS5" s="55" t="s">
        <v>222</v>
      </c>
      <c r="AT5" s="56"/>
      <c r="AV5" s="56"/>
      <c r="AW5" s="4"/>
      <c r="AX5" s="4"/>
      <c r="AY5" s="4"/>
      <c r="AZ5" s="4"/>
      <c r="BA5" s="4" t="s">
        <v>228</v>
      </c>
      <c r="BB5" s="56"/>
      <c r="BC5" s="55">
        <v>0</v>
      </c>
      <c r="BD5" s="56">
        <v>0</v>
      </c>
      <c r="BE5" s="56">
        <v>5</v>
      </c>
      <c r="BF5" s="4">
        <v>0</v>
      </c>
      <c r="BG5" s="56">
        <v>0</v>
      </c>
      <c r="BH5" s="56">
        <v>0</v>
      </c>
      <c r="BI5" s="56">
        <v>0</v>
      </c>
      <c r="BJ5" s="56">
        <v>0</v>
      </c>
      <c r="BK5" s="56">
        <v>0</v>
      </c>
      <c r="BL5" s="4">
        <v>0</v>
      </c>
      <c r="BM5" s="4"/>
      <c r="BN5" s="56" t="s">
        <v>222</v>
      </c>
      <c r="BO5" s="56"/>
      <c r="BP5" s="284" t="s">
        <v>222</v>
      </c>
      <c r="BQ5" s="4"/>
      <c r="BR5" s="4"/>
      <c r="BS5" s="4"/>
      <c r="BT5" s="4"/>
      <c r="BU5" s="2"/>
      <c r="BV5" s="57"/>
      <c r="BW5" s="4" t="s">
        <v>222</v>
      </c>
      <c r="BX5" s="56"/>
      <c r="BY5" s="56"/>
      <c r="BZ5" s="55" t="s">
        <v>276</v>
      </c>
    </row>
    <row r="6" spans="1:78" x14ac:dyDescent="0.15">
      <c r="A6" s="54">
        <v>1930</v>
      </c>
      <c r="B6" s="250">
        <v>43036</v>
      </c>
      <c r="C6" s="1" t="s">
        <v>219</v>
      </c>
      <c r="D6" s="179" t="s">
        <v>203</v>
      </c>
      <c r="E6" s="2"/>
      <c r="F6" s="2" t="s">
        <v>220</v>
      </c>
      <c r="G6" s="3">
        <v>43006</v>
      </c>
      <c r="H6" s="4" t="s">
        <v>221</v>
      </c>
      <c r="I6" s="4" t="s">
        <v>222</v>
      </c>
      <c r="J6" s="4"/>
      <c r="K6" s="181" t="s">
        <v>280</v>
      </c>
      <c r="L6" s="179" t="s">
        <v>281</v>
      </c>
      <c r="M6" s="291">
        <v>77.272727272727266</v>
      </c>
      <c r="N6" s="291">
        <v>25.545454545454543</v>
      </c>
      <c r="O6" s="2" t="s">
        <v>225</v>
      </c>
      <c r="P6" s="2">
        <v>500</v>
      </c>
      <c r="Q6" s="291">
        <v>18.909090909090907</v>
      </c>
      <c r="R6" s="2"/>
      <c r="S6" s="198"/>
      <c r="T6" s="180"/>
      <c r="U6" s="2"/>
      <c r="V6" s="198"/>
      <c r="W6" s="198"/>
      <c r="X6" s="2"/>
      <c r="Y6" s="2"/>
      <c r="Z6" s="2"/>
      <c r="AA6" s="2"/>
      <c r="AB6" s="2"/>
      <c r="AC6" s="2"/>
      <c r="AD6" s="2"/>
      <c r="AE6" s="198"/>
      <c r="AF6" s="198"/>
      <c r="AG6" s="2"/>
      <c r="AH6" s="2"/>
      <c r="AI6" s="198"/>
      <c r="AJ6" s="2"/>
      <c r="AK6" s="2"/>
      <c r="AL6" s="2"/>
      <c r="AM6" s="55"/>
      <c r="AN6" s="271"/>
      <c r="AO6" s="55"/>
      <c r="AP6" s="271"/>
      <c r="AQ6" s="271"/>
      <c r="AR6" s="181" t="s">
        <v>226</v>
      </c>
      <c r="AS6" s="55" t="s">
        <v>222</v>
      </c>
      <c r="AT6" s="56"/>
      <c r="AV6" s="285" t="s">
        <v>227</v>
      </c>
      <c r="AW6" s="4">
        <v>6.6</v>
      </c>
      <c r="AX6" s="4"/>
      <c r="AY6" s="4"/>
      <c r="AZ6" s="4"/>
      <c r="BA6" s="4" t="s">
        <v>228</v>
      </c>
      <c r="BB6" s="56"/>
      <c r="BC6" s="55">
        <v>0</v>
      </c>
      <c r="BD6" s="56">
        <v>0</v>
      </c>
      <c r="BE6" s="56">
        <v>0</v>
      </c>
      <c r="BF6" s="4">
        <v>0</v>
      </c>
      <c r="BG6" s="56">
        <v>0</v>
      </c>
      <c r="BH6" s="56">
        <v>0</v>
      </c>
      <c r="BI6" s="56">
        <v>0</v>
      </c>
      <c r="BJ6" s="56">
        <v>0</v>
      </c>
      <c r="BK6" s="56">
        <v>0</v>
      </c>
      <c r="BL6" s="4">
        <v>0</v>
      </c>
      <c r="BM6" s="4"/>
      <c r="BN6" s="56" t="s">
        <v>222</v>
      </c>
      <c r="BO6" s="56"/>
      <c r="BP6" s="284" t="s">
        <v>222</v>
      </c>
      <c r="BQ6" s="292">
        <v>163.58181818181816</v>
      </c>
      <c r="BR6" s="4"/>
      <c r="BS6" s="4"/>
      <c r="BT6" s="4"/>
      <c r="BU6" s="2"/>
      <c r="BV6" s="57"/>
      <c r="BW6" s="4" t="s">
        <v>222</v>
      </c>
      <c r="BX6" s="56"/>
      <c r="BY6" s="56"/>
      <c r="BZ6" s="55" t="s">
        <v>282</v>
      </c>
    </row>
    <row r="7" spans="1:78" x14ac:dyDescent="0.15">
      <c r="A7" s="54">
        <v>1930</v>
      </c>
      <c r="B7" s="250">
        <v>43036</v>
      </c>
      <c r="C7" s="1" t="s">
        <v>219</v>
      </c>
      <c r="D7" s="179" t="s">
        <v>203</v>
      </c>
      <c r="E7" s="2"/>
      <c r="F7" s="2" t="s">
        <v>220</v>
      </c>
      <c r="G7" s="3">
        <v>43014</v>
      </c>
      <c r="H7" s="4" t="s">
        <v>221</v>
      </c>
      <c r="I7" s="4" t="s">
        <v>222</v>
      </c>
      <c r="J7" s="4"/>
      <c r="K7" s="181" t="s">
        <v>277</v>
      </c>
      <c r="L7" s="179" t="s">
        <v>278</v>
      </c>
      <c r="M7" s="291">
        <v>82.818181818181813</v>
      </c>
      <c r="N7" s="291">
        <v>20.909090909090907</v>
      </c>
      <c r="O7" s="2"/>
      <c r="P7" s="2"/>
      <c r="Q7" s="283"/>
      <c r="R7" s="2"/>
      <c r="S7" s="198"/>
      <c r="T7" s="180"/>
      <c r="U7" s="2"/>
      <c r="V7" s="198"/>
      <c r="W7" s="198"/>
      <c r="X7" s="2"/>
      <c r="Y7" s="2"/>
      <c r="Z7" s="2"/>
      <c r="AA7" s="2"/>
      <c r="AB7" s="2"/>
      <c r="AC7" s="2"/>
      <c r="AD7" s="2"/>
      <c r="AE7" s="198"/>
      <c r="AF7" s="198"/>
      <c r="AG7" s="2"/>
      <c r="AH7" s="2"/>
      <c r="AI7" s="198"/>
      <c r="AJ7" s="2"/>
      <c r="AK7" s="2"/>
      <c r="AL7" s="2"/>
      <c r="AM7" s="55"/>
      <c r="AN7" s="271"/>
      <c r="AO7" s="55"/>
      <c r="AP7" s="271"/>
      <c r="AQ7" s="271"/>
      <c r="AR7" s="181" t="s">
        <v>226</v>
      </c>
      <c r="AS7" s="55" t="s">
        <v>222</v>
      </c>
      <c r="AT7" s="56"/>
      <c r="AV7" s="285" t="s">
        <v>227</v>
      </c>
      <c r="AW7" s="4">
        <v>7</v>
      </c>
      <c r="AX7" s="4"/>
      <c r="AY7" s="4"/>
      <c r="AZ7" s="4"/>
      <c r="BA7" s="4" t="s">
        <v>228</v>
      </c>
      <c r="BB7" s="56"/>
      <c r="BC7" s="55">
        <v>0</v>
      </c>
      <c r="BD7" s="56">
        <v>0</v>
      </c>
      <c r="BE7" s="56">
        <v>0</v>
      </c>
      <c r="BF7" s="4">
        <v>0</v>
      </c>
      <c r="BG7" s="56">
        <v>0</v>
      </c>
      <c r="BH7" s="56">
        <v>0</v>
      </c>
      <c r="BI7" s="56">
        <v>0</v>
      </c>
      <c r="BJ7" s="56">
        <v>0</v>
      </c>
      <c r="BK7" s="56">
        <v>0</v>
      </c>
      <c r="BL7" s="4">
        <v>0</v>
      </c>
      <c r="BM7" s="4"/>
      <c r="BN7" s="56" t="s">
        <v>222</v>
      </c>
      <c r="BO7" s="56"/>
      <c r="BP7" s="284" t="s">
        <v>222</v>
      </c>
      <c r="BQ7" s="4"/>
      <c r="BR7" s="4"/>
      <c r="BS7" s="4"/>
      <c r="BT7" s="4"/>
      <c r="BU7" s="2"/>
      <c r="BV7" s="57"/>
      <c r="BW7" s="4" t="s">
        <v>222</v>
      </c>
      <c r="BX7" s="56">
        <v>1</v>
      </c>
      <c r="BY7" s="56"/>
      <c r="BZ7" s="55" t="s">
        <v>279</v>
      </c>
    </row>
    <row r="8" spans="1:78" x14ac:dyDescent="0.15">
      <c r="A8" s="54">
        <v>1928</v>
      </c>
      <c r="B8" s="250">
        <v>43036</v>
      </c>
      <c r="C8" s="1" t="s">
        <v>219</v>
      </c>
      <c r="D8" s="179" t="s">
        <v>203</v>
      </c>
      <c r="E8" s="2"/>
      <c r="F8" s="2" t="s">
        <v>263</v>
      </c>
      <c r="G8" s="3">
        <v>42917</v>
      </c>
      <c r="H8" s="4" t="s">
        <v>221</v>
      </c>
      <c r="I8" s="4" t="s">
        <v>222</v>
      </c>
      <c r="J8" s="4"/>
      <c r="K8" s="55" t="s">
        <v>223</v>
      </c>
      <c r="L8" s="2" t="s">
        <v>224</v>
      </c>
      <c r="M8" s="291">
        <v>102.02727272727272</v>
      </c>
      <c r="N8" s="291">
        <v>27.563636363636363</v>
      </c>
      <c r="O8" s="2" t="s">
        <v>225</v>
      </c>
      <c r="P8" s="2">
        <v>500</v>
      </c>
      <c r="Q8" s="291">
        <v>20.390909090909091</v>
      </c>
      <c r="R8" s="2"/>
      <c r="S8" s="198"/>
      <c r="T8" s="180"/>
      <c r="U8" s="2"/>
      <c r="V8" s="198"/>
      <c r="W8" s="198"/>
      <c r="X8" s="2"/>
      <c r="Y8" s="2"/>
      <c r="Z8" s="2"/>
      <c r="AA8" s="2"/>
      <c r="AB8" s="2"/>
      <c r="AC8" s="2"/>
      <c r="AD8" s="2"/>
      <c r="AE8" s="198"/>
      <c r="AF8" s="291">
        <v>11.736363636363636</v>
      </c>
      <c r="AG8" s="2"/>
      <c r="AH8" s="2"/>
      <c r="AI8" s="198"/>
      <c r="AJ8" s="2"/>
      <c r="AK8" s="2"/>
      <c r="AL8" s="2"/>
      <c r="AM8" s="55"/>
      <c r="AN8" s="271"/>
      <c r="AO8" s="55"/>
      <c r="AP8" s="271"/>
      <c r="AQ8" s="271"/>
      <c r="AR8" s="181" t="s">
        <v>264</v>
      </c>
      <c r="AS8" s="55" t="s">
        <v>222</v>
      </c>
      <c r="AT8" s="56"/>
      <c r="AV8" s="56" t="s">
        <v>227</v>
      </c>
      <c r="AW8" s="4">
        <v>6.5010000000000003</v>
      </c>
      <c r="AX8" s="4"/>
      <c r="AY8" s="4"/>
      <c r="AZ8" s="4"/>
      <c r="BA8" s="4" t="s">
        <v>228</v>
      </c>
      <c r="BB8" s="56"/>
      <c r="BC8" s="55">
        <v>0</v>
      </c>
      <c r="BD8" s="56">
        <v>0</v>
      </c>
      <c r="BE8" s="56">
        <v>0</v>
      </c>
      <c r="BF8" s="4">
        <v>0</v>
      </c>
      <c r="BG8" s="56">
        <v>0</v>
      </c>
      <c r="BH8" s="56">
        <v>0</v>
      </c>
      <c r="BI8" s="56">
        <v>0</v>
      </c>
      <c r="BJ8" s="56">
        <v>0</v>
      </c>
      <c r="BK8" s="56">
        <v>0</v>
      </c>
      <c r="BL8" s="4">
        <v>0</v>
      </c>
      <c r="BM8" s="4"/>
      <c r="BN8" s="56" t="s">
        <v>222</v>
      </c>
      <c r="BO8" s="56"/>
      <c r="BP8" s="4" t="s">
        <v>221</v>
      </c>
      <c r="BQ8" s="4"/>
      <c r="BR8" s="4"/>
      <c r="BS8" s="4"/>
      <c r="BT8" s="4" t="s">
        <v>229</v>
      </c>
      <c r="BU8" s="199" t="s">
        <v>173</v>
      </c>
      <c r="BV8" s="57">
        <v>20</v>
      </c>
      <c r="BW8" s="202" t="s">
        <v>222</v>
      </c>
      <c r="BX8" s="56"/>
      <c r="BY8" s="56"/>
      <c r="BZ8" s="55" t="s">
        <v>286</v>
      </c>
    </row>
    <row r="9" spans="1:78" ht="13" customHeight="1" x14ac:dyDescent="0.15">
      <c r="A9" s="54">
        <v>4939</v>
      </c>
      <c r="B9" s="250">
        <v>43036</v>
      </c>
      <c r="C9" s="201" t="s">
        <v>219</v>
      </c>
      <c r="D9" s="199" t="s">
        <v>203</v>
      </c>
      <c r="E9" s="199"/>
      <c r="F9" s="199" t="s">
        <v>263</v>
      </c>
      <c r="G9" s="200">
        <v>42916</v>
      </c>
      <c r="H9" s="202" t="s">
        <v>221</v>
      </c>
      <c r="I9" s="202" t="s">
        <v>222</v>
      </c>
      <c r="J9" s="202"/>
      <c r="K9" s="199" t="s">
        <v>207</v>
      </c>
      <c r="L9" s="199" t="s">
        <v>208</v>
      </c>
      <c r="M9" s="291">
        <v>101.47272727272727</v>
      </c>
      <c r="N9" s="291">
        <v>27.563636363636363</v>
      </c>
      <c r="O9" s="199" t="s">
        <v>225</v>
      </c>
      <c r="P9" s="199">
        <v>500</v>
      </c>
      <c r="Q9" s="291">
        <v>20.381818181818183</v>
      </c>
      <c r="R9" s="199"/>
      <c r="S9" s="247"/>
      <c r="T9" s="204"/>
      <c r="U9" s="199"/>
      <c r="V9" s="247"/>
      <c r="W9" s="247"/>
      <c r="X9" s="199"/>
      <c r="Y9" s="199"/>
      <c r="Z9" s="199"/>
      <c r="AA9" s="199"/>
      <c r="AB9" s="199"/>
      <c r="AC9" s="199"/>
      <c r="AD9" s="199"/>
      <c r="AE9" s="247"/>
      <c r="AF9" s="291">
        <v>11.727272727272727</v>
      </c>
      <c r="AG9" s="199"/>
      <c r="AH9" s="199"/>
      <c r="AI9" s="247"/>
      <c r="AJ9" s="199"/>
      <c r="AK9" s="199"/>
      <c r="AL9" s="199"/>
      <c r="AM9" s="199"/>
      <c r="AN9" s="203"/>
      <c r="AO9" s="248"/>
      <c r="AP9" s="247"/>
      <c r="AQ9" s="247"/>
      <c r="AR9" s="199" t="s">
        <v>264</v>
      </c>
      <c r="AS9" s="199" t="s">
        <v>222</v>
      </c>
      <c r="AT9" s="202"/>
      <c r="AU9" s="202"/>
      <c r="AV9" s="202" t="s">
        <v>227</v>
      </c>
      <c r="AW9" s="4">
        <v>6.5010000000000003</v>
      </c>
      <c r="AX9" s="202"/>
      <c r="AY9" s="202"/>
      <c r="AZ9" s="202"/>
      <c r="BA9" s="202" t="s">
        <v>222</v>
      </c>
      <c r="BB9" s="202"/>
      <c r="BC9" s="199">
        <v>0</v>
      </c>
      <c r="BD9" s="202">
        <v>0</v>
      </c>
      <c r="BE9" s="202">
        <v>0</v>
      </c>
      <c r="BF9" s="202">
        <v>5</v>
      </c>
      <c r="BG9" s="202">
        <v>0</v>
      </c>
      <c r="BH9" s="202">
        <v>0</v>
      </c>
      <c r="BI9" s="202">
        <v>0</v>
      </c>
      <c r="BJ9" s="202">
        <v>0</v>
      </c>
      <c r="BK9" s="202">
        <v>0</v>
      </c>
      <c r="BL9" s="202">
        <v>0</v>
      </c>
      <c r="BM9" s="202"/>
      <c r="BN9" s="202"/>
      <c r="BO9" s="202">
        <v>12</v>
      </c>
      <c r="BP9" s="202" t="s">
        <v>222</v>
      </c>
      <c r="BQ9" s="202"/>
      <c r="BR9" s="202"/>
      <c r="BS9" s="202"/>
      <c r="BT9" s="202"/>
      <c r="BU9" s="202"/>
      <c r="BV9" s="202"/>
      <c r="BW9" s="202" t="s">
        <v>222</v>
      </c>
      <c r="BX9" s="202">
        <v>1</v>
      </c>
      <c r="BY9" s="202"/>
      <c r="BZ9" s="205" t="s">
        <v>287</v>
      </c>
    </row>
    <row r="10" spans="1:78" ht="13" customHeight="1" x14ac:dyDescent="0.15">
      <c r="A10" s="54">
        <v>88</v>
      </c>
      <c r="B10" s="250">
        <v>43036</v>
      </c>
      <c r="C10" s="201" t="s">
        <v>219</v>
      </c>
      <c r="D10" s="199" t="s">
        <v>203</v>
      </c>
      <c r="E10" s="199"/>
      <c r="F10" s="199" t="s">
        <v>263</v>
      </c>
      <c r="G10" s="200">
        <v>42452</v>
      </c>
      <c r="H10" s="202" t="s">
        <v>221</v>
      </c>
      <c r="I10" s="202" t="s">
        <v>222</v>
      </c>
      <c r="J10" s="202"/>
      <c r="K10" s="199" t="s">
        <v>260</v>
      </c>
      <c r="L10" s="199" t="s">
        <v>285</v>
      </c>
      <c r="M10" s="291">
        <v>92.999999999999986</v>
      </c>
      <c r="N10" s="291">
        <v>28.54545454545454</v>
      </c>
      <c r="O10" s="199" t="s">
        <v>225</v>
      </c>
      <c r="P10" s="199">
        <v>500</v>
      </c>
      <c r="Q10" s="291">
        <v>21.09090909090909</v>
      </c>
      <c r="R10" s="199"/>
      <c r="S10" s="247"/>
      <c r="T10" s="204"/>
      <c r="U10" s="199"/>
      <c r="V10" s="247"/>
      <c r="W10" s="247"/>
      <c r="X10" s="199"/>
      <c r="Y10" s="199"/>
      <c r="Z10" s="199"/>
      <c r="AA10" s="199"/>
      <c r="AB10" s="199"/>
      <c r="AC10" s="199"/>
      <c r="AD10" s="199"/>
      <c r="AE10" s="247"/>
      <c r="AF10" s="291">
        <v>13.545454545454543</v>
      </c>
      <c r="AG10" s="199"/>
      <c r="AH10" s="199"/>
      <c r="AI10" s="247"/>
      <c r="AJ10" s="199"/>
      <c r="AK10" s="199"/>
      <c r="AL10" s="199"/>
      <c r="AM10" s="199"/>
      <c r="AN10" s="203"/>
      <c r="AO10" s="248"/>
      <c r="AP10" s="247"/>
      <c r="AQ10" s="247"/>
      <c r="AR10" s="199" t="s">
        <v>264</v>
      </c>
      <c r="AS10" s="199" t="s">
        <v>222</v>
      </c>
      <c r="AT10" s="202"/>
      <c r="AU10" s="202"/>
      <c r="AV10" s="202"/>
      <c r="AW10" s="202"/>
      <c r="AX10" s="202"/>
      <c r="AY10" s="202"/>
      <c r="AZ10" s="202"/>
      <c r="BA10" s="202" t="s">
        <v>222</v>
      </c>
      <c r="BB10" s="202"/>
      <c r="BC10" s="199">
        <v>0</v>
      </c>
      <c r="BD10" s="202">
        <v>0</v>
      </c>
      <c r="BE10" s="202">
        <v>3</v>
      </c>
      <c r="BF10" s="202">
        <v>0</v>
      </c>
      <c r="BG10" s="202">
        <v>0</v>
      </c>
      <c r="BH10" s="202">
        <v>0</v>
      </c>
      <c r="BI10" s="202">
        <v>0</v>
      </c>
      <c r="BJ10" s="202">
        <v>0</v>
      </c>
      <c r="BK10" s="202">
        <v>0</v>
      </c>
      <c r="BL10" s="202">
        <v>0</v>
      </c>
      <c r="BM10" s="202"/>
      <c r="BN10" s="202" t="s">
        <v>222</v>
      </c>
      <c r="BO10" s="202"/>
      <c r="BP10" s="202" t="s">
        <v>222</v>
      </c>
      <c r="BQ10" s="202"/>
      <c r="BR10" s="202"/>
      <c r="BS10" s="202"/>
      <c r="BT10" s="202"/>
      <c r="BU10" s="202"/>
      <c r="BV10" s="202"/>
      <c r="BW10" s="202" t="s">
        <v>222</v>
      </c>
      <c r="BX10" s="202">
        <v>1</v>
      </c>
      <c r="BY10" s="202"/>
      <c r="BZ10" s="205" t="s">
        <v>267</v>
      </c>
    </row>
    <row r="11" spans="1:78" ht="13" customHeight="1" x14ac:dyDescent="0.15">
      <c r="A11" s="54">
        <v>1931</v>
      </c>
      <c r="B11" s="250">
        <v>43036</v>
      </c>
      <c r="C11" s="201" t="s">
        <v>219</v>
      </c>
      <c r="D11" s="199" t="s">
        <v>203</v>
      </c>
      <c r="E11" s="199"/>
      <c r="F11" s="199" t="s">
        <v>268</v>
      </c>
      <c r="G11" s="200">
        <v>42917</v>
      </c>
      <c r="H11" s="202" t="s">
        <v>221</v>
      </c>
      <c r="I11" s="202" t="s">
        <v>222</v>
      </c>
      <c r="J11" s="202"/>
      <c r="K11" s="199" t="s">
        <v>223</v>
      </c>
      <c r="L11" s="199" t="s">
        <v>224</v>
      </c>
      <c r="M11" s="291">
        <v>89.854545454545445</v>
      </c>
      <c r="N11" s="291">
        <v>22.68181818181818</v>
      </c>
      <c r="O11" s="199"/>
      <c r="P11" s="199"/>
      <c r="Q11" s="203"/>
      <c r="R11" s="199"/>
      <c r="S11" s="203"/>
      <c r="T11" s="204"/>
      <c r="U11" s="199"/>
      <c r="V11" s="203"/>
      <c r="W11" s="291">
        <v>9.5909090909090899</v>
      </c>
      <c r="X11" s="199"/>
      <c r="Y11" s="199"/>
      <c r="Z11" s="199"/>
      <c r="AA11" s="199"/>
      <c r="AB11" s="199"/>
      <c r="AC11" s="199"/>
      <c r="AD11" s="199"/>
      <c r="AE11" s="203"/>
      <c r="AF11" s="203"/>
      <c r="AG11" s="199"/>
      <c r="AH11" s="199"/>
      <c r="AI11" s="291">
        <v>16.390909090909091</v>
      </c>
      <c r="AJ11" s="199"/>
      <c r="AK11" s="199"/>
      <c r="AL11" s="199"/>
      <c r="AM11" s="199"/>
      <c r="AN11" s="203"/>
      <c r="AO11" s="199"/>
      <c r="AP11" s="203"/>
      <c r="AQ11" s="203"/>
      <c r="AR11" s="199" t="s">
        <v>269</v>
      </c>
      <c r="AS11" s="199" t="s">
        <v>222</v>
      </c>
      <c r="AT11" s="202"/>
      <c r="AU11" s="202"/>
      <c r="AV11" s="202" t="s">
        <v>227</v>
      </c>
      <c r="AW11" s="4">
        <v>6.5010000000000003</v>
      </c>
      <c r="AX11" s="202"/>
      <c r="AY11" s="202"/>
      <c r="AZ11" s="202"/>
      <c r="BA11" s="202" t="s">
        <v>228</v>
      </c>
      <c r="BB11" s="202"/>
      <c r="BC11" s="199">
        <v>0</v>
      </c>
      <c r="BD11" s="202">
        <v>0</v>
      </c>
      <c r="BE11" s="202">
        <v>0</v>
      </c>
      <c r="BF11" s="202">
        <v>0</v>
      </c>
      <c r="BG11" s="202">
        <v>0</v>
      </c>
      <c r="BH11" s="202">
        <v>0</v>
      </c>
      <c r="BI11" s="202">
        <v>0</v>
      </c>
      <c r="BJ11" s="202">
        <v>0</v>
      </c>
      <c r="BK11" s="202">
        <v>0</v>
      </c>
      <c r="BL11" s="202">
        <v>0</v>
      </c>
      <c r="BM11" s="202"/>
      <c r="BN11" s="202" t="s">
        <v>222</v>
      </c>
      <c r="BO11" s="202"/>
      <c r="BP11" s="202" t="s">
        <v>222</v>
      </c>
      <c r="BQ11" s="4"/>
      <c r="BR11" s="202"/>
      <c r="BS11" s="202"/>
      <c r="BT11" s="202" t="s">
        <v>229</v>
      </c>
      <c r="BU11" s="199" t="s">
        <v>173</v>
      </c>
      <c r="BV11" s="205">
        <v>20</v>
      </c>
      <c r="BW11" s="202" t="s">
        <v>222</v>
      </c>
      <c r="BX11" s="202"/>
      <c r="BY11" s="202"/>
      <c r="BZ11" s="199" t="s">
        <v>288</v>
      </c>
    </row>
    <row r="12" spans="1:78" ht="13" customHeight="1" x14ac:dyDescent="0.15">
      <c r="A12" s="54">
        <v>4942</v>
      </c>
      <c r="B12" s="250">
        <v>43036</v>
      </c>
      <c r="C12" s="201" t="s">
        <v>219</v>
      </c>
      <c r="D12" s="199" t="s">
        <v>203</v>
      </c>
      <c r="E12" s="199"/>
      <c r="F12" s="199" t="s">
        <v>268</v>
      </c>
      <c r="G12" s="200">
        <v>42916</v>
      </c>
      <c r="H12" s="202" t="s">
        <v>221</v>
      </c>
      <c r="I12" s="202" t="s">
        <v>222</v>
      </c>
      <c r="J12" s="202"/>
      <c r="K12" s="199" t="s">
        <v>207</v>
      </c>
      <c r="L12" s="199" t="s">
        <v>208</v>
      </c>
      <c r="M12" s="291">
        <v>89.854545454545445</v>
      </c>
      <c r="N12" s="291">
        <v>22.672727272727272</v>
      </c>
      <c r="O12" s="199"/>
      <c r="P12" s="199"/>
      <c r="Q12" s="247"/>
      <c r="R12" s="199"/>
      <c r="S12" s="247"/>
      <c r="T12" s="204"/>
      <c r="U12" s="199"/>
      <c r="V12" s="247"/>
      <c r="W12" s="291">
        <v>9.5818181818181802</v>
      </c>
      <c r="X12" s="199"/>
      <c r="Y12" s="199"/>
      <c r="Z12" s="199"/>
      <c r="AA12" s="199"/>
      <c r="AB12" s="199"/>
      <c r="AC12" s="199"/>
      <c r="AD12" s="199"/>
      <c r="AE12" s="247"/>
      <c r="AF12" s="247"/>
      <c r="AG12" s="199"/>
      <c r="AH12" s="199"/>
      <c r="AI12" s="291">
        <v>16.390909090909091</v>
      </c>
      <c r="AJ12" s="199"/>
      <c r="AK12" s="199"/>
      <c r="AL12" s="199"/>
      <c r="AM12" s="199"/>
      <c r="AN12" s="203"/>
      <c r="AO12" s="248"/>
      <c r="AP12" s="247"/>
      <c r="AQ12" s="247"/>
      <c r="AR12" s="199" t="s">
        <v>269</v>
      </c>
      <c r="AS12" s="199" t="s">
        <v>222</v>
      </c>
      <c r="AT12" s="202"/>
      <c r="AU12" s="202"/>
      <c r="AV12" s="202" t="s">
        <v>227</v>
      </c>
      <c r="AW12" s="4">
        <v>6.5010000000000003</v>
      </c>
      <c r="AX12" s="202"/>
      <c r="AY12" s="202"/>
      <c r="AZ12" s="202"/>
      <c r="BA12" s="202" t="s">
        <v>222</v>
      </c>
      <c r="BB12" s="202"/>
      <c r="BC12" s="199">
        <v>0</v>
      </c>
      <c r="BD12" s="202">
        <v>0</v>
      </c>
      <c r="BE12" s="202">
        <v>0</v>
      </c>
      <c r="BF12" s="202">
        <v>5</v>
      </c>
      <c r="BG12" s="202">
        <v>0</v>
      </c>
      <c r="BH12" s="202">
        <v>0</v>
      </c>
      <c r="BI12" s="202">
        <v>0</v>
      </c>
      <c r="BJ12" s="202">
        <v>0</v>
      </c>
      <c r="BK12" s="202">
        <v>0</v>
      </c>
      <c r="BL12" s="202">
        <v>0</v>
      </c>
      <c r="BM12" s="202"/>
      <c r="BN12" s="202"/>
      <c r="BO12" s="202">
        <v>12</v>
      </c>
      <c r="BP12" s="202" t="s">
        <v>222</v>
      </c>
      <c r="BQ12" s="202"/>
      <c r="BR12" s="202"/>
      <c r="BS12" s="202"/>
      <c r="BT12" s="202"/>
      <c r="BU12" s="202"/>
      <c r="BV12" s="202"/>
      <c r="BW12" s="202" t="s">
        <v>222</v>
      </c>
      <c r="BX12" s="202">
        <v>1</v>
      </c>
      <c r="BY12" s="202"/>
      <c r="BZ12" s="205" t="s">
        <v>271</v>
      </c>
    </row>
    <row r="13" spans="1:78" x14ac:dyDescent="0.15">
      <c r="A13" s="54">
        <v>1930</v>
      </c>
      <c r="B13" s="250">
        <v>43036</v>
      </c>
      <c r="C13" s="1" t="s">
        <v>219</v>
      </c>
      <c r="D13" s="179" t="s">
        <v>203</v>
      </c>
      <c r="E13" s="2"/>
      <c r="F13" s="199" t="s">
        <v>268</v>
      </c>
      <c r="G13" s="3">
        <v>43025</v>
      </c>
      <c r="H13" s="4" t="s">
        <v>221</v>
      </c>
      <c r="I13" s="4" t="s">
        <v>222</v>
      </c>
      <c r="J13" s="4"/>
      <c r="K13" s="181" t="s">
        <v>274</v>
      </c>
      <c r="L13" s="179" t="s">
        <v>275</v>
      </c>
      <c r="M13" s="291">
        <v>89.854545454545445</v>
      </c>
      <c r="N13" s="291">
        <v>22.68181818181818</v>
      </c>
      <c r="O13" s="199"/>
      <c r="P13" s="199"/>
      <c r="Q13" s="247"/>
      <c r="R13" s="2"/>
      <c r="S13" s="198"/>
      <c r="T13" s="180"/>
      <c r="U13" s="2"/>
      <c r="V13" s="198"/>
      <c r="W13" s="291">
        <v>9.5909090909090899</v>
      </c>
      <c r="X13" s="2"/>
      <c r="Y13" s="2"/>
      <c r="Z13" s="2"/>
      <c r="AA13" s="2"/>
      <c r="AB13" s="2"/>
      <c r="AC13" s="2"/>
      <c r="AD13" s="2"/>
      <c r="AE13" s="198"/>
      <c r="AF13" s="198"/>
      <c r="AG13" s="2"/>
      <c r="AH13" s="2"/>
      <c r="AI13" s="291">
        <v>16.390909090909091</v>
      </c>
      <c r="AJ13" s="2"/>
      <c r="AK13" s="2"/>
      <c r="AL13" s="2"/>
      <c r="AM13" s="55"/>
      <c r="AN13" s="271"/>
      <c r="AO13" s="55"/>
      <c r="AP13" s="271"/>
      <c r="AQ13" s="271"/>
      <c r="AR13" s="199" t="s">
        <v>269</v>
      </c>
      <c r="AS13" s="55" t="s">
        <v>222</v>
      </c>
      <c r="AT13" s="56"/>
      <c r="AV13" s="56"/>
      <c r="AW13" s="4"/>
      <c r="AX13" s="4"/>
      <c r="AY13" s="4"/>
      <c r="AZ13" s="4"/>
      <c r="BA13" s="4" t="s">
        <v>228</v>
      </c>
      <c r="BB13" s="56"/>
      <c r="BC13" s="55">
        <v>0</v>
      </c>
      <c r="BD13" s="56">
        <v>0</v>
      </c>
      <c r="BE13" s="56">
        <v>5</v>
      </c>
      <c r="BF13" s="4">
        <v>0</v>
      </c>
      <c r="BG13" s="56">
        <v>0</v>
      </c>
      <c r="BH13" s="56">
        <v>0</v>
      </c>
      <c r="BI13" s="56">
        <v>0</v>
      </c>
      <c r="BJ13" s="56">
        <v>0</v>
      </c>
      <c r="BK13" s="56">
        <v>0</v>
      </c>
      <c r="BL13" s="4">
        <v>0</v>
      </c>
      <c r="BM13" s="4"/>
      <c r="BN13" s="56" t="s">
        <v>222</v>
      </c>
      <c r="BO13" s="56"/>
      <c r="BP13" s="284" t="s">
        <v>222</v>
      </c>
      <c r="BQ13" s="4"/>
      <c r="BR13" s="4"/>
      <c r="BS13" s="4"/>
      <c r="BT13" s="4"/>
      <c r="BU13" s="2"/>
      <c r="BV13" s="57"/>
      <c r="BW13" s="4" t="s">
        <v>222</v>
      </c>
      <c r="BX13" s="56"/>
      <c r="BY13" s="56"/>
      <c r="BZ13" s="55" t="s">
        <v>289</v>
      </c>
    </row>
    <row r="14" spans="1:78" x14ac:dyDescent="0.15">
      <c r="A14" s="54">
        <v>1930</v>
      </c>
      <c r="B14" s="250">
        <v>43036</v>
      </c>
      <c r="C14" s="1" t="s">
        <v>219</v>
      </c>
      <c r="D14" s="179" t="s">
        <v>203</v>
      </c>
      <c r="E14" s="2"/>
      <c r="F14" s="199" t="s">
        <v>268</v>
      </c>
      <c r="G14" s="3">
        <v>43006</v>
      </c>
      <c r="H14" s="4" t="s">
        <v>221</v>
      </c>
      <c r="I14" s="4" t="s">
        <v>222</v>
      </c>
      <c r="J14" s="4"/>
      <c r="K14" s="181" t="s">
        <v>280</v>
      </c>
      <c r="L14" s="179" t="s">
        <v>281</v>
      </c>
      <c r="M14" s="291">
        <v>84.545454545454533</v>
      </c>
      <c r="N14" s="291">
        <v>20.909090909090907</v>
      </c>
      <c r="O14" s="199"/>
      <c r="P14" s="199"/>
      <c r="Q14" s="247"/>
      <c r="R14" s="2"/>
      <c r="S14" s="198"/>
      <c r="T14" s="180"/>
      <c r="U14" s="2"/>
      <c r="V14" s="198"/>
      <c r="W14" s="291">
        <v>9.0909090909090899</v>
      </c>
      <c r="X14" s="2"/>
      <c r="Y14" s="2"/>
      <c r="Z14" s="2"/>
      <c r="AA14" s="2"/>
      <c r="AB14" s="2"/>
      <c r="AC14" s="2"/>
      <c r="AD14" s="2"/>
      <c r="AE14" s="198"/>
      <c r="AF14" s="198"/>
      <c r="AG14" s="2"/>
      <c r="AH14" s="2"/>
      <c r="AI14" s="291">
        <v>15.454545454545453</v>
      </c>
      <c r="AJ14" s="2"/>
      <c r="AK14" s="2"/>
      <c r="AL14" s="2"/>
      <c r="AM14" s="55"/>
      <c r="AN14" s="271"/>
      <c r="AO14" s="55"/>
      <c r="AP14" s="271"/>
      <c r="AQ14" s="271"/>
      <c r="AR14" s="199" t="s">
        <v>269</v>
      </c>
      <c r="AS14" s="55" t="s">
        <v>222</v>
      </c>
      <c r="AT14" s="56"/>
      <c r="AV14" s="285" t="s">
        <v>227</v>
      </c>
      <c r="AW14" s="4">
        <v>6.6</v>
      </c>
      <c r="AX14" s="4"/>
      <c r="AY14" s="4"/>
      <c r="AZ14" s="4"/>
      <c r="BA14" s="4" t="s">
        <v>228</v>
      </c>
      <c r="BB14" s="56"/>
      <c r="BC14" s="55">
        <v>0</v>
      </c>
      <c r="BD14" s="56">
        <v>0</v>
      </c>
      <c r="BE14" s="56">
        <v>0</v>
      </c>
      <c r="BF14" s="4">
        <v>0</v>
      </c>
      <c r="BG14" s="56">
        <v>0</v>
      </c>
      <c r="BH14" s="56">
        <v>0</v>
      </c>
      <c r="BI14" s="56">
        <v>0</v>
      </c>
      <c r="BJ14" s="56">
        <v>0</v>
      </c>
      <c r="BK14" s="56">
        <v>0</v>
      </c>
      <c r="BL14" s="4">
        <v>0</v>
      </c>
      <c r="BM14" s="4"/>
      <c r="BN14" s="56" t="s">
        <v>222</v>
      </c>
      <c r="BO14" s="56"/>
      <c r="BP14" s="284" t="s">
        <v>222</v>
      </c>
      <c r="BQ14" s="292">
        <v>163.58181818181816</v>
      </c>
      <c r="BR14" s="4"/>
      <c r="BS14" s="4"/>
      <c r="BT14" s="4"/>
      <c r="BU14" s="2"/>
      <c r="BV14" s="57"/>
      <c r="BW14" s="4" t="s">
        <v>222</v>
      </c>
      <c r="BX14" s="56"/>
      <c r="BY14" s="56"/>
      <c r="BZ14" s="55" t="s">
        <v>282</v>
      </c>
    </row>
    <row r="15" spans="1:78" x14ac:dyDescent="0.15">
      <c r="A15" s="54">
        <v>1930</v>
      </c>
      <c r="B15" s="250">
        <v>43036</v>
      </c>
      <c r="C15" s="1" t="s">
        <v>219</v>
      </c>
      <c r="D15" s="179" t="s">
        <v>203</v>
      </c>
      <c r="E15" s="2"/>
      <c r="F15" s="199" t="s">
        <v>268</v>
      </c>
      <c r="G15" s="3">
        <v>43014</v>
      </c>
      <c r="H15" s="4" t="s">
        <v>221</v>
      </c>
      <c r="I15" s="4" t="s">
        <v>222</v>
      </c>
      <c r="J15" s="4"/>
      <c r="K15" s="181" t="s">
        <v>277</v>
      </c>
      <c r="L15" s="179" t="s">
        <v>278</v>
      </c>
      <c r="M15" s="291">
        <v>89.863636363636346</v>
      </c>
      <c r="N15" s="291">
        <v>21.536363636363635</v>
      </c>
      <c r="O15" s="2"/>
      <c r="P15" s="2"/>
      <c r="Q15" s="283"/>
      <c r="R15" s="2"/>
      <c r="S15" s="198"/>
      <c r="T15" s="180"/>
      <c r="U15" s="2"/>
      <c r="V15" s="198"/>
      <c r="W15" s="291">
        <v>10.009090909090908</v>
      </c>
      <c r="X15" s="2"/>
      <c r="Y15" s="2"/>
      <c r="Z15" s="2"/>
      <c r="AA15" s="2"/>
      <c r="AB15" s="2"/>
      <c r="AC15" s="2"/>
      <c r="AD15" s="2"/>
      <c r="AE15" s="198"/>
      <c r="AF15" s="198"/>
      <c r="AG15" s="2"/>
      <c r="AH15" s="2"/>
      <c r="AI15" s="291">
        <v>19.09090909090909</v>
      </c>
      <c r="AJ15" s="2"/>
      <c r="AK15" s="2"/>
      <c r="AL15" s="2"/>
      <c r="AM15" s="55"/>
      <c r="AN15" s="271"/>
      <c r="AO15" s="55"/>
      <c r="AP15" s="271"/>
      <c r="AQ15" s="271"/>
      <c r="AR15" s="199" t="s">
        <v>269</v>
      </c>
      <c r="AS15" s="55" t="s">
        <v>222</v>
      </c>
      <c r="AT15" s="56"/>
      <c r="AV15" s="285" t="s">
        <v>227</v>
      </c>
      <c r="AW15" s="4">
        <v>7</v>
      </c>
      <c r="AX15" s="4"/>
      <c r="AY15" s="4"/>
      <c r="AZ15" s="4"/>
      <c r="BA15" s="4" t="s">
        <v>228</v>
      </c>
      <c r="BB15" s="56"/>
      <c r="BC15" s="55">
        <v>0</v>
      </c>
      <c r="BD15" s="56">
        <v>0</v>
      </c>
      <c r="BE15" s="56">
        <v>0</v>
      </c>
      <c r="BF15" s="4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4">
        <v>0</v>
      </c>
      <c r="BM15" s="4"/>
      <c r="BN15" s="56" t="s">
        <v>222</v>
      </c>
      <c r="BO15" s="56"/>
      <c r="BP15" s="284" t="s">
        <v>222</v>
      </c>
      <c r="BQ15" s="4"/>
      <c r="BR15" s="4"/>
      <c r="BS15" s="4"/>
      <c r="BT15" s="4"/>
      <c r="BU15" s="2"/>
      <c r="BV15" s="57"/>
      <c r="BW15" s="4" t="s">
        <v>222</v>
      </c>
      <c r="BX15" s="56">
        <v>1</v>
      </c>
      <c r="BY15" s="56"/>
      <c r="BZ15" s="55" t="s">
        <v>279</v>
      </c>
    </row>
  </sheetData>
  <sheetProtection algorithmName="SHA-512" hashValue="d9q/NL5VEeFlIB1cQR5U4PzP1Pl6eGjFvOtcvjmDNUynZyV74W8prYeBf0GiUofm6NlOZS82KXUz51ARn84a8w==" saltValue="7GSl3IJz5e24p4y0pW+ybg==" spinCount="100000" sheet="1" objects="1" scenarios="1"/>
  <phoneticPr fontId="2" type="noConversion"/>
  <pageMargins left="0.75" right="0.75" top="1" bottom="1" header="0.5" footer="0.5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3B20-90BF-5D44-85D4-1A5BF1AFE8B6}">
  <sheetPr codeName="Sheet21"/>
  <dimension ref="A1:BZ9"/>
  <sheetViews>
    <sheetView zoomScale="90" zoomScaleNormal="90" zoomScalePageLayoutView="125" workbookViewId="0">
      <selection activeCell="B2" sqref="B2:B1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250</v>
      </c>
      <c r="AO1" s="18" t="s">
        <v>111</v>
      </c>
      <c r="AP1" s="18" t="s">
        <v>112</v>
      </c>
      <c r="AQ1" s="18" t="s">
        <v>113</v>
      </c>
      <c r="AR1" s="19" t="s">
        <v>114</v>
      </c>
      <c r="AS1" s="20" t="s">
        <v>115</v>
      </c>
      <c r="AT1" s="20" t="s">
        <v>88</v>
      </c>
      <c r="AU1" s="21" t="s">
        <v>89</v>
      </c>
      <c r="AV1" s="22" t="s">
        <v>90</v>
      </c>
      <c r="AW1" s="23" t="s">
        <v>91</v>
      </c>
      <c r="AX1" s="22"/>
      <c r="AY1" s="22"/>
      <c r="AZ1" s="22"/>
      <c r="BA1" s="24" t="s">
        <v>92</v>
      </c>
      <c r="BB1" s="25" t="s">
        <v>93</v>
      </c>
      <c r="BC1" s="26" t="s">
        <v>94</v>
      </c>
      <c r="BD1" s="27" t="s">
        <v>123</v>
      </c>
      <c r="BE1" s="28" t="s">
        <v>124</v>
      </c>
      <c r="BF1" s="27" t="s">
        <v>125</v>
      </c>
      <c r="BG1" s="28" t="s">
        <v>135</v>
      </c>
      <c r="BH1" s="29" t="s">
        <v>136</v>
      </c>
      <c r="BI1" s="26" t="s">
        <v>137</v>
      </c>
      <c r="BJ1" s="30" t="s">
        <v>138</v>
      </c>
      <c r="BK1" s="26" t="s">
        <v>139</v>
      </c>
      <c r="BL1" s="30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74" t="s">
        <v>272</v>
      </c>
      <c r="BR1" s="8" t="s">
        <v>251</v>
      </c>
      <c r="BS1" s="8" t="s">
        <v>252</v>
      </c>
      <c r="BT1" s="31" t="s">
        <v>12</v>
      </c>
      <c r="BU1" s="31" t="s">
        <v>60</v>
      </c>
      <c r="BV1" s="32" t="s">
        <v>53</v>
      </c>
      <c r="BW1" s="32" t="s">
        <v>8</v>
      </c>
      <c r="BX1" s="8" t="s">
        <v>253</v>
      </c>
      <c r="BY1" s="31" t="s">
        <v>11</v>
      </c>
    </row>
    <row r="2" spans="1:78" x14ac:dyDescent="0.15">
      <c r="A2" s="54">
        <v>1930</v>
      </c>
      <c r="B2" s="250">
        <v>42839</v>
      </c>
      <c r="C2" s="1" t="s">
        <v>219</v>
      </c>
      <c r="D2" s="179" t="s">
        <v>203</v>
      </c>
      <c r="E2" s="2"/>
      <c r="F2" s="2" t="s">
        <v>220</v>
      </c>
      <c r="G2" s="3">
        <v>42551</v>
      </c>
      <c r="H2" s="4" t="s">
        <v>221</v>
      </c>
      <c r="I2" s="4" t="s">
        <v>222</v>
      </c>
      <c r="J2" s="4"/>
      <c r="K2" s="55" t="s">
        <v>223</v>
      </c>
      <c r="L2" s="2" t="s">
        <v>224</v>
      </c>
      <c r="M2" s="198">
        <v>93.209090909090904</v>
      </c>
      <c r="N2" s="198">
        <v>30.963636363636365</v>
      </c>
      <c r="O2" s="2" t="s">
        <v>225</v>
      </c>
      <c r="P2" s="2">
        <v>500</v>
      </c>
      <c r="Q2" s="198">
        <v>22.909090909090907</v>
      </c>
      <c r="R2" s="2"/>
      <c r="S2" s="198"/>
      <c r="T2" s="180"/>
      <c r="U2" s="2"/>
      <c r="V2" s="198"/>
      <c r="W2" s="198"/>
      <c r="X2" s="2"/>
      <c r="Y2" s="2"/>
      <c r="Z2" s="2"/>
      <c r="AA2" s="2"/>
      <c r="AB2" s="2"/>
      <c r="AC2" s="2"/>
      <c r="AD2" s="2"/>
      <c r="AE2" s="198"/>
      <c r="AF2" s="198"/>
      <c r="AG2" s="2"/>
      <c r="AH2" s="2"/>
      <c r="AI2" s="198"/>
      <c r="AJ2" s="2"/>
      <c r="AK2" s="2"/>
      <c r="AL2" s="2"/>
      <c r="AM2" s="55"/>
      <c r="AN2" s="271"/>
      <c r="AO2" s="55"/>
      <c r="AP2" s="271"/>
      <c r="AQ2" s="55" t="s">
        <v>226</v>
      </c>
      <c r="AR2" s="55" t="s">
        <v>222</v>
      </c>
      <c r="AS2" s="56"/>
      <c r="AU2" s="56" t="s">
        <v>227</v>
      </c>
      <c r="AV2" s="4">
        <v>8.4710000000000001</v>
      </c>
      <c r="AW2" s="4"/>
      <c r="AX2" s="4"/>
      <c r="AY2" s="4"/>
      <c r="AZ2" s="4" t="s">
        <v>228</v>
      </c>
      <c r="BA2" s="56"/>
      <c r="BB2" s="55">
        <v>0</v>
      </c>
      <c r="BC2" s="56">
        <v>0</v>
      </c>
      <c r="BD2" s="56">
        <v>0</v>
      </c>
      <c r="BE2" s="4">
        <v>0</v>
      </c>
      <c r="BF2" s="56">
        <v>0</v>
      </c>
      <c r="BG2" s="56">
        <v>0</v>
      </c>
      <c r="BH2" s="56">
        <v>0</v>
      </c>
      <c r="BI2" s="56">
        <v>0</v>
      </c>
      <c r="BJ2" s="56">
        <v>0</v>
      </c>
      <c r="BK2" s="4">
        <v>0</v>
      </c>
      <c r="BL2" s="4"/>
      <c r="BM2" s="56" t="s">
        <v>222</v>
      </c>
      <c r="BN2" s="56"/>
      <c r="BO2" s="4" t="s">
        <v>221</v>
      </c>
      <c r="BP2" s="4"/>
      <c r="BQ2" s="4"/>
      <c r="BR2" s="4"/>
      <c r="BS2" s="4" t="s">
        <v>229</v>
      </c>
      <c r="BT2" s="2" t="s">
        <v>173</v>
      </c>
      <c r="BU2" s="57">
        <v>20</v>
      </c>
      <c r="BV2" s="4" t="s">
        <v>222</v>
      </c>
      <c r="BW2" s="56"/>
      <c r="BX2" s="56"/>
      <c r="BY2" s="55" t="s">
        <v>256</v>
      </c>
      <c r="BZ2" t="s">
        <v>257</v>
      </c>
    </row>
    <row r="3" spans="1:78" ht="13" customHeight="1" x14ac:dyDescent="0.15">
      <c r="A3" s="54">
        <v>4941</v>
      </c>
      <c r="B3" s="250">
        <v>42839</v>
      </c>
      <c r="C3" s="201" t="s">
        <v>219</v>
      </c>
      <c r="D3" s="199" t="s">
        <v>203</v>
      </c>
      <c r="E3" s="199"/>
      <c r="F3" s="199" t="s">
        <v>220</v>
      </c>
      <c r="G3" s="200">
        <v>42544</v>
      </c>
      <c r="H3" s="202" t="s">
        <v>221</v>
      </c>
      <c r="I3" s="202" t="s">
        <v>222</v>
      </c>
      <c r="J3" s="202"/>
      <c r="K3" s="199" t="s">
        <v>207</v>
      </c>
      <c r="L3" s="199" t="s">
        <v>208</v>
      </c>
      <c r="M3" s="249">
        <v>93.199999999999989</v>
      </c>
      <c r="N3" s="249">
        <v>30.963636363636365</v>
      </c>
      <c r="O3" s="199" t="s">
        <v>225</v>
      </c>
      <c r="P3" s="199">
        <v>500</v>
      </c>
      <c r="Q3" s="249">
        <v>22.9</v>
      </c>
      <c r="R3" s="199"/>
      <c r="S3" s="247"/>
      <c r="T3" s="204"/>
      <c r="U3" s="199"/>
      <c r="V3" s="247"/>
      <c r="W3" s="247"/>
      <c r="X3" s="199"/>
      <c r="Y3" s="199"/>
      <c r="Z3" s="199"/>
      <c r="AA3" s="199"/>
      <c r="AB3" s="199"/>
      <c r="AC3" s="199"/>
      <c r="AD3" s="199"/>
      <c r="AE3" s="247"/>
      <c r="AF3" s="247"/>
      <c r="AG3" s="199"/>
      <c r="AH3" s="199"/>
      <c r="AI3" s="247"/>
      <c r="AJ3" s="199"/>
      <c r="AK3" s="199"/>
      <c r="AL3" s="199"/>
      <c r="AM3" s="199"/>
      <c r="AN3" s="203"/>
      <c r="AO3" s="248"/>
      <c r="AP3" s="247"/>
      <c r="AQ3" s="248" t="s">
        <v>226</v>
      </c>
      <c r="AR3" s="199" t="s">
        <v>222</v>
      </c>
      <c r="AS3" s="202"/>
      <c r="AT3" s="202"/>
      <c r="AU3" s="202" t="s">
        <v>227</v>
      </c>
      <c r="AV3" s="202">
        <v>8.4710000000000001</v>
      </c>
      <c r="AW3" s="202"/>
      <c r="AX3" s="202"/>
      <c r="AY3" s="202"/>
      <c r="AZ3" s="202" t="s">
        <v>222</v>
      </c>
      <c r="BA3" s="202"/>
      <c r="BB3" s="199">
        <v>0</v>
      </c>
      <c r="BC3" s="202">
        <v>0</v>
      </c>
      <c r="BD3" s="202">
        <v>0</v>
      </c>
      <c r="BE3" s="202">
        <v>5</v>
      </c>
      <c r="BF3" s="202">
        <v>0</v>
      </c>
      <c r="BG3" s="202">
        <v>0</v>
      </c>
      <c r="BH3" s="202">
        <v>0</v>
      </c>
      <c r="BI3" s="202">
        <v>0</v>
      </c>
      <c r="BJ3" s="202">
        <v>0</v>
      </c>
      <c r="BK3" s="202">
        <v>0</v>
      </c>
      <c r="BL3" s="202"/>
      <c r="BM3" s="202"/>
      <c r="BN3" s="202">
        <v>12</v>
      </c>
      <c r="BO3" s="202" t="s">
        <v>222</v>
      </c>
      <c r="BP3" s="202"/>
      <c r="BQ3" s="202"/>
      <c r="BR3" s="202"/>
      <c r="BS3" s="202"/>
      <c r="BT3" s="202"/>
      <c r="BU3" s="202"/>
      <c r="BV3" s="202" t="s">
        <v>222</v>
      </c>
      <c r="BW3" s="202">
        <v>1</v>
      </c>
      <c r="BX3" s="202"/>
      <c r="BY3" s="205" t="s">
        <v>258</v>
      </c>
      <c r="BZ3" t="s">
        <v>259</v>
      </c>
    </row>
    <row r="4" spans="1:78" ht="13" customHeight="1" x14ac:dyDescent="0.15">
      <c r="A4" s="54">
        <v>90</v>
      </c>
      <c r="B4" s="250">
        <v>42839</v>
      </c>
      <c r="C4" s="201" t="s">
        <v>219</v>
      </c>
      <c r="D4" s="199" t="s">
        <v>203</v>
      </c>
      <c r="E4" s="199"/>
      <c r="F4" s="199" t="s">
        <v>220</v>
      </c>
      <c r="G4" s="200">
        <v>42452</v>
      </c>
      <c r="H4" s="202" t="s">
        <v>221</v>
      </c>
      <c r="I4" s="202" t="s">
        <v>222</v>
      </c>
      <c r="J4" s="202"/>
      <c r="K4" s="199" t="s">
        <v>260</v>
      </c>
      <c r="L4" s="199" t="s">
        <v>261</v>
      </c>
      <c r="M4" s="249">
        <v>94.5</v>
      </c>
      <c r="N4" s="249">
        <v>31.399999999999995</v>
      </c>
      <c r="O4" s="199" t="s">
        <v>225</v>
      </c>
      <c r="P4" s="199">
        <v>500</v>
      </c>
      <c r="Q4" s="249">
        <v>23.2</v>
      </c>
      <c r="R4" s="199"/>
      <c r="S4" s="247"/>
      <c r="T4" s="204"/>
      <c r="U4" s="199"/>
      <c r="V4" s="247"/>
      <c r="W4" s="247"/>
      <c r="X4" s="199"/>
      <c r="Y4" s="199"/>
      <c r="Z4" s="199"/>
      <c r="AA4" s="199"/>
      <c r="AB4" s="199"/>
      <c r="AC4" s="199"/>
      <c r="AD4" s="199"/>
      <c r="AE4" s="247"/>
      <c r="AF4" s="247"/>
      <c r="AG4" s="199"/>
      <c r="AH4" s="199"/>
      <c r="AI4" s="247"/>
      <c r="AJ4" s="199"/>
      <c r="AK4" s="199"/>
      <c r="AL4" s="199"/>
      <c r="AM4" s="199"/>
      <c r="AN4" s="203"/>
      <c r="AO4" s="248"/>
      <c r="AP4" s="247"/>
      <c r="AQ4" s="248" t="s">
        <v>226</v>
      </c>
      <c r="AR4" s="199" t="s">
        <v>222</v>
      </c>
      <c r="AS4" s="202"/>
      <c r="AT4" s="270"/>
      <c r="AU4" s="202"/>
      <c r="AV4" s="202"/>
      <c r="AW4" s="202"/>
      <c r="AX4" s="202"/>
      <c r="AY4" s="202"/>
      <c r="AZ4" s="202" t="s">
        <v>222</v>
      </c>
      <c r="BA4" s="202"/>
      <c r="BB4" s="199">
        <v>0</v>
      </c>
      <c r="BC4" s="202">
        <v>0</v>
      </c>
      <c r="BD4" s="202">
        <v>3</v>
      </c>
      <c r="BE4" s="202">
        <v>0</v>
      </c>
      <c r="BF4" s="202">
        <v>0</v>
      </c>
      <c r="BG4" s="202">
        <v>0</v>
      </c>
      <c r="BH4" s="202">
        <v>0</v>
      </c>
      <c r="BI4" s="202">
        <v>0</v>
      </c>
      <c r="BJ4" s="202">
        <v>0</v>
      </c>
      <c r="BK4" s="202">
        <v>0</v>
      </c>
      <c r="BL4" s="202"/>
      <c r="BM4" s="202" t="s">
        <v>222</v>
      </c>
      <c r="BN4" s="202"/>
      <c r="BO4" s="202" t="s">
        <v>222</v>
      </c>
      <c r="BP4" s="202"/>
      <c r="BQ4" s="202"/>
      <c r="BR4" s="202"/>
      <c r="BS4" s="202"/>
      <c r="BT4" s="202"/>
      <c r="BU4" s="202"/>
      <c r="BV4" s="202" t="s">
        <v>222</v>
      </c>
      <c r="BW4" s="202">
        <v>1</v>
      </c>
      <c r="BX4" s="202"/>
      <c r="BY4" s="282" t="s">
        <v>262</v>
      </c>
      <c r="BZ4" t="s">
        <v>259</v>
      </c>
    </row>
    <row r="5" spans="1:78" x14ac:dyDescent="0.15">
      <c r="A5" s="54">
        <v>1928</v>
      </c>
      <c r="B5" s="250">
        <v>42839</v>
      </c>
      <c r="C5" s="1" t="s">
        <v>219</v>
      </c>
      <c r="D5" s="179" t="s">
        <v>203</v>
      </c>
      <c r="E5" s="2"/>
      <c r="F5" s="2" t="s">
        <v>263</v>
      </c>
      <c r="G5" s="3">
        <v>42551</v>
      </c>
      <c r="H5" s="4" t="s">
        <v>221</v>
      </c>
      <c r="I5" s="4" t="s">
        <v>222</v>
      </c>
      <c r="J5" s="4"/>
      <c r="K5" s="55" t="s">
        <v>223</v>
      </c>
      <c r="L5" s="2" t="s">
        <v>224</v>
      </c>
      <c r="M5" s="198">
        <v>113.43636363636362</v>
      </c>
      <c r="N5" s="198">
        <v>30.963636363636365</v>
      </c>
      <c r="O5" s="2" t="s">
        <v>225</v>
      </c>
      <c r="P5" s="2">
        <v>500</v>
      </c>
      <c r="Q5" s="198">
        <v>22.909090909090907</v>
      </c>
      <c r="R5" s="2"/>
      <c r="S5" s="198"/>
      <c r="T5" s="180"/>
      <c r="U5" s="2"/>
      <c r="V5" s="198"/>
      <c r="W5" s="198"/>
      <c r="X5" s="2"/>
      <c r="Y5" s="2"/>
      <c r="Z5" s="2"/>
      <c r="AA5" s="2"/>
      <c r="AB5" s="2"/>
      <c r="AC5" s="2"/>
      <c r="AD5" s="2"/>
      <c r="AE5" s="198"/>
      <c r="AF5" s="198">
        <v>12.818181818181817</v>
      </c>
      <c r="AG5" s="2"/>
      <c r="AH5" s="2"/>
      <c r="AI5" s="198"/>
      <c r="AJ5" s="2"/>
      <c r="AK5" s="2"/>
      <c r="AL5" s="2"/>
      <c r="AM5" s="55"/>
      <c r="AN5" s="271"/>
      <c r="AO5" s="55"/>
      <c r="AP5" s="271"/>
      <c r="AQ5" s="55" t="s">
        <v>264</v>
      </c>
      <c r="AR5" s="55" t="s">
        <v>222</v>
      </c>
      <c r="AS5" s="56"/>
      <c r="AU5" s="56" t="s">
        <v>227</v>
      </c>
      <c r="AV5" s="4">
        <v>8.4710000000000001</v>
      </c>
      <c r="AW5" s="4"/>
      <c r="AX5" s="4"/>
      <c r="AY5" s="4"/>
      <c r="AZ5" s="4" t="s">
        <v>228</v>
      </c>
      <c r="BA5" s="56"/>
      <c r="BB5" s="55">
        <v>0</v>
      </c>
      <c r="BC5" s="56">
        <v>0</v>
      </c>
      <c r="BD5" s="56">
        <v>0</v>
      </c>
      <c r="BE5" s="4">
        <v>0</v>
      </c>
      <c r="BF5" s="56">
        <v>0</v>
      </c>
      <c r="BG5" s="56">
        <v>0</v>
      </c>
      <c r="BH5" s="56">
        <v>0</v>
      </c>
      <c r="BI5" s="56">
        <v>0</v>
      </c>
      <c r="BJ5" s="56">
        <v>0</v>
      </c>
      <c r="BK5" s="4">
        <v>0</v>
      </c>
      <c r="BL5" s="4"/>
      <c r="BM5" s="56" t="s">
        <v>222</v>
      </c>
      <c r="BN5" s="56"/>
      <c r="BO5" s="4" t="s">
        <v>221</v>
      </c>
      <c r="BP5" s="4"/>
      <c r="BQ5" s="4"/>
      <c r="BR5" s="4"/>
      <c r="BS5" s="4" t="s">
        <v>229</v>
      </c>
      <c r="BT5" s="199" t="s">
        <v>173</v>
      </c>
      <c r="BU5" s="57">
        <v>20</v>
      </c>
      <c r="BV5" s="202" t="s">
        <v>222</v>
      </c>
      <c r="BW5" s="56"/>
      <c r="BX5" s="56"/>
      <c r="BY5" s="55" t="s">
        <v>265</v>
      </c>
      <c r="BZ5" t="s">
        <v>257</v>
      </c>
    </row>
    <row r="6" spans="1:78" ht="13" customHeight="1" x14ac:dyDescent="0.15">
      <c r="A6" s="54">
        <v>4939</v>
      </c>
      <c r="B6" s="250">
        <v>42839</v>
      </c>
      <c r="C6" s="201" t="s">
        <v>219</v>
      </c>
      <c r="D6" s="199" t="s">
        <v>203</v>
      </c>
      <c r="E6" s="199"/>
      <c r="F6" s="199" t="s">
        <v>263</v>
      </c>
      <c r="G6" s="200">
        <v>42544</v>
      </c>
      <c r="H6" s="202" t="s">
        <v>221</v>
      </c>
      <c r="I6" s="202" t="s">
        <v>222</v>
      </c>
      <c r="J6" s="202"/>
      <c r="K6" s="199" t="s">
        <v>207</v>
      </c>
      <c r="L6" s="199" t="s">
        <v>208</v>
      </c>
      <c r="M6" s="249">
        <v>109.90909090909091</v>
      </c>
      <c r="N6" s="249">
        <v>30.963636363636365</v>
      </c>
      <c r="O6" s="199" t="s">
        <v>225</v>
      </c>
      <c r="P6" s="199">
        <v>500</v>
      </c>
      <c r="Q6" s="249">
        <v>22.9</v>
      </c>
      <c r="R6" s="199"/>
      <c r="S6" s="247"/>
      <c r="T6" s="204"/>
      <c r="U6" s="199"/>
      <c r="V6" s="247"/>
      <c r="W6" s="247"/>
      <c r="X6" s="199"/>
      <c r="Y6" s="199"/>
      <c r="Z6" s="199"/>
      <c r="AA6" s="199"/>
      <c r="AB6" s="199"/>
      <c r="AC6" s="199"/>
      <c r="AD6" s="199"/>
      <c r="AE6" s="247"/>
      <c r="AF6" s="249">
        <v>14.663636363636362</v>
      </c>
      <c r="AG6" s="199"/>
      <c r="AH6" s="199"/>
      <c r="AI6" s="247"/>
      <c r="AJ6" s="199"/>
      <c r="AK6" s="199"/>
      <c r="AL6" s="199"/>
      <c r="AM6" s="199"/>
      <c r="AN6" s="203"/>
      <c r="AO6" s="248"/>
      <c r="AP6" s="247"/>
      <c r="AQ6" s="248" t="s">
        <v>264</v>
      </c>
      <c r="AR6" s="199" t="s">
        <v>222</v>
      </c>
      <c r="AS6" s="202"/>
      <c r="AT6" s="202"/>
      <c r="AU6" s="202" t="s">
        <v>227</v>
      </c>
      <c r="AV6" s="202">
        <v>8.4710000000000001</v>
      </c>
      <c r="AW6" s="202"/>
      <c r="AX6" s="202"/>
      <c r="AY6" s="202"/>
      <c r="AZ6" s="202" t="s">
        <v>222</v>
      </c>
      <c r="BA6" s="202"/>
      <c r="BB6" s="199">
        <v>0</v>
      </c>
      <c r="BC6" s="202">
        <v>0</v>
      </c>
      <c r="BD6" s="202">
        <v>0</v>
      </c>
      <c r="BE6" s="202">
        <v>5</v>
      </c>
      <c r="BF6" s="202">
        <v>0</v>
      </c>
      <c r="BG6" s="202">
        <v>0</v>
      </c>
      <c r="BH6" s="202">
        <v>0</v>
      </c>
      <c r="BI6" s="202">
        <v>0</v>
      </c>
      <c r="BJ6" s="202">
        <v>0</v>
      </c>
      <c r="BK6" s="202">
        <v>0</v>
      </c>
      <c r="BL6" s="202"/>
      <c r="BM6" s="202"/>
      <c r="BN6" s="202">
        <v>12</v>
      </c>
      <c r="BO6" s="202" t="s">
        <v>222</v>
      </c>
      <c r="BP6" s="202"/>
      <c r="BQ6" s="202"/>
      <c r="BR6" s="202"/>
      <c r="BS6" s="202"/>
      <c r="BT6" s="202"/>
      <c r="BU6" s="202"/>
      <c r="BV6" s="202" t="s">
        <v>222</v>
      </c>
      <c r="BW6" s="202">
        <v>1</v>
      </c>
      <c r="BX6" s="202"/>
      <c r="BY6" s="205" t="s">
        <v>266</v>
      </c>
      <c r="BZ6" t="s">
        <v>257</v>
      </c>
    </row>
    <row r="7" spans="1:78" ht="13" customHeight="1" x14ac:dyDescent="0.15">
      <c r="A7" s="54">
        <v>88</v>
      </c>
      <c r="B7" s="250">
        <v>42839</v>
      </c>
      <c r="C7" s="201" t="s">
        <v>219</v>
      </c>
      <c r="D7" s="199" t="s">
        <v>203</v>
      </c>
      <c r="E7" s="199"/>
      <c r="F7" s="199" t="s">
        <v>263</v>
      </c>
      <c r="G7" s="200">
        <v>42452</v>
      </c>
      <c r="H7" s="202" t="s">
        <v>221</v>
      </c>
      <c r="I7" s="202" t="s">
        <v>222</v>
      </c>
      <c r="J7" s="202"/>
      <c r="K7" s="199" t="s">
        <v>260</v>
      </c>
      <c r="L7" s="199" t="s">
        <v>261</v>
      </c>
      <c r="M7" s="249">
        <v>102.3</v>
      </c>
      <c r="N7" s="249">
        <v>31.399999999999995</v>
      </c>
      <c r="O7" s="199" t="s">
        <v>225</v>
      </c>
      <c r="P7" s="199">
        <v>500</v>
      </c>
      <c r="Q7" s="249">
        <v>23.2</v>
      </c>
      <c r="R7" s="199"/>
      <c r="S7" s="247"/>
      <c r="T7" s="204"/>
      <c r="U7" s="199"/>
      <c r="V7" s="247"/>
      <c r="W7" s="247"/>
      <c r="X7" s="199"/>
      <c r="Y7" s="199"/>
      <c r="Z7" s="199"/>
      <c r="AA7" s="199"/>
      <c r="AB7" s="199"/>
      <c r="AC7" s="199"/>
      <c r="AD7" s="199"/>
      <c r="AE7" s="247"/>
      <c r="AF7" s="249">
        <v>14.899999999999999</v>
      </c>
      <c r="AG7" s="199"/>
      <c r="AH7" s="199"/>
      <c r="AI7" s="247"/>
      <c r="AJ7" s="199"/>
      <c r="AK7" s="199"/>
      <c r="AL7" s="199"/>
      <c r="AM7" s="199"/>
      <c r="AN7" s="203"/>
      <c r="AO7" s="248"/>
      <c r="AP7" s="247"/>
      <c r="AQ7" s="248" t="s">
        <v>264</v>
      </c>
      <c r="AR7" s="199" t="s">
        <v>222</v>
      </c>
      <c r="AS7" s="202"/>
      <c r="AT7" s="202"/>
      <c r="AU7" s="202"/>
      <c r="AV7" s="202"/>
      <c r="AW7" s="202"/>
      <c r="AX7" s="202"/>
      <c r="AY7" s="202"/>
      <c r="AZ7" s="202" t="s">
        <v>222</v>
      </c>
      <c r="BA7" s="202"/>
      <c r="BB7" s="199">
        <v>0</v>
      </c>
      <c r="BC7" s="202">
        <v>0</v>
      </c>
      <c r="BD7" s="202">
        <v>3</v>
      </c>
      <c r="BE7" s="202">
        <v>0</v>
      </c>
      <c r="BF7" s="202">
        <v>0</v>
      </c>
      <c r="BG7" s="202">
        <v>0</v>
      </c>
      <c r="BH7" s="202">
        <v>0</v>
      </c>
      <c r="BI7" s="202">
        <v>0</v>
      </c>
      <c r="BJ7" s="202">
        <v>0</v>
      </c>
      <c r="BK7" s="202">
        <v>0</v>
      </c>
      <c r="BL7" s="202"/>
      <c r="BM7" s="202" t="s">
        <v>222</v>
      </c>
      <c r="BN7" s="202"/>
      <c r="BO7" s="202" t="s">
        <v>222</v>
      </c>
      <c r="BP7" s="202"/>
      <c r="BQ7" s="202"/>
      <c r="BR7" s="202"/>
      <c r="BS7" s="202"/>
      <c r="BT7" s="202"/>
      <c r="BU7" s="202"/>
      <c r="BV7" s="202" t="s">
        <v>222</v>
      </c>
      <c r="BW7" s="202">
        <v>1</v>
      </c>
      <c r="BX7" s="202"/>
      <c r="BY7" s="205" t="s">
        <v>267</v>
      </c>
      <c r="BZ7" t="s">
        <v>259</v>
      </c>
    </row>
    <row r="8" spans="1:78" ht="13" customHeight="1" x14ac:dyDescent="0.15">
      <c r="A8" s="54">
        <v>1931</v>
      </c>
      <c r="B8" s="250">
        <v>42839</v>
      </c>
      <c r="C8" s="201" t="s">
        <v>219</v>
      </c>
      <c r="D8" s="199" t="s">
        <v>203</v>
      </c>
      <c r="E8" s="199"/>
      <c r="F8" s="199" t="s">
        <v>268</v>
      </c>
      <c r="G8" s="200">
        <v>42551</v>
      </c>
      <c r="H8" s="202" t="s">
        <v>221</v>
      </c>
      <c r="I8" s="202" t="s">
        <v>222</v>
      </c>
      <c r="J8" s="202"/>
      <c r="K8" s="199" t="s">
        <v>223</v>
      </c>
      <c r="L8" s="199" t="s">
        <v>224</v>
      </c>
      <c r="M8" s="203">
        <v>100.96363636363635</v>
      </c>
      <c r="N8" s="203">
        <v>25.481818181818181</v>
      </c>
      <c r="O8" s="199"/>
      <c r="P8" s="199"/>
      <c r="Q8" s="203"/>
      <c r="R8" s="199"/>
      <c r="S8" s="203"/>
      <c r="T8" s="204"/>
      <c r="U8" s="199"/>
      <c r="V8" s="203"/>
      <c r="W8" s="203">
        <v>10.772727272727272</v>
      </c>
      <c r="X8" s="199"/>
      <c r="Y8" s="199"/>
      <c r="Z8" s="199"/>
      <c r="AA8" s="199"/>
      <c r="AB8" s="199"/>
      <c r="AC8" s="199"/>
      <c r="AD8" s="199"/>
      <c r="AE8" s="203"/>
      <c r="AF8" s="203"/>
      <c r="AG8" s="199"/>
      <c r="AH8" s="199"/>
      <c r="AI8" s="203">
        <v>18.418181818181818</v>
      </c>
      <c r="AJ8" s="199"/>
      <c r="AK8" s="199"/>
      <c r="AL8" s="199"/>
      <c r="AM8" s="199"/>
      <c r="AN8" s="203"/>
      <c r="AO8" s="199"/>
      <c r="AP8" s="203"/>
      <c r="AQ8" s="199" t="s">
        <v>269</v>
      </c>
      <c r="AR8" s="199" t="s">
        <v>222</v>
      </c>
      <c r="AS8" s="202"/>
      <c r="AT8" s="202"/>
      <c r="AU8" s="202" t="s">
        <v>227</v>
      </c>
      <c r="AV8" s="202">
        <v>8.4710000000000001</v>
      </c>
      <c r="AW8" s="202"/>
      <c r="AX8" s="202"/>
      <c r="AY8" s="202"/>
      <c r="AZ8" s="202" t="s">
        <v>228</v>
      </c>
      <c r="BA8" s="202"/>
      <c r="BB8" s="199">
        <v>0</v>
      </c>
      <c r="BC8" s="202">
        <v>0</v>
      </c>
      <c r="BD8" s="202">
        <v>0</v>
      </c>
      <c r="BE8" s="202">
        <v>0</v>
      </c>
      <c r="BF8" s="202">
        <v>0</v>
      </c>
      <c r="BG8" s="202">
        <v>0</v>
      </c>
      <c r="BH8" s="202">
        <v>0</v>
      </c>
      <c r="BI8" s="202">
        <v>0</v>
      </c>
      <c r="BJ8" s="202">
        <v>0</v>
      </c>
      <c r="BK8" s="202">
        <v>0</v>
      </c>
      <c r="BL8" s="202"/>
      <c r="BM8" s="202" t="s">
        <v>222</v>
      </c>
      <c r="BN8" s="202"/>
      <c r="BO8" s="202" t="s">
        <v>222</v>
      </c>
      <c r="BP8" s="4"/>
      <c r="BQ8" s="202"/>
      <c r="BR8" s="202"/>
      <c r="BS8" s="202" t="s">
        <v>229</v>
      </c>
      <c r="BT8" s="199" t="s">
        <v>173</v>
      </c>
      <c r="BU8" s="205">
        <v>20</v>
      </c>
      <c r="BV8" s="202" t="s">
        <v>222</v>
      </c>
      <c r="BW8" s="202"/>
      <c r="BX8" s="202"/>
      <c r="BY8" s="199" t="s">
        <v>270</v>
      </c>
      <c r="BZ8" t="s">
        <v>257</v>
      </c>
    </row>
    <row r="9" spans="1:78" ht="13" customHeight="1" x14ac:dyDescent="0.15">
      <c r="A9" s="54">
        <v>4942</v>
      </c>
      <c r="B9" s="250">
        <v>42839</v>
      </c>
      <c r="C9" s="201" t="s">
        <v>219</v>
      </c>
      <c r="D9" s="199" t="s">
        <v>203</v>
      </c>
      <c r="E9" s="199"/>
      <c r="F9" s="199" t="s">
        <v>268</v>
      </c>
      <c r="G9" s="200">
        <v>42544</v>
      </c>
      <c r="H9" s="202" t="s">
        <v>221</v>
      </c>
      <c r="I9" s="202" t="s">
        <v>222</v>
      </c>
      <c r="J9" s="202"/>
      <c r="K9" s="199" t="s">
        <v>207</v>
      </c>
      <c r="L9" s="199" t="s">
        <v>208</v>
      </c>
      <c r="M9" s="203">
        <v>100.96363636363635</v>
      </c>
      <c r="N9" s="249">
        <v>25.481818181818181</v>
      </c>
      <c r="O9" s="199"/>
      <c r="P9" s="199"/>
      <c r="Q9" s="247"/>
      <c r="R9" s="199"/>
      <c r="S9" s="247"/>
      <c r="T9" s="204"/>
      <c r="U9" s="199"/>
      <c r="V9" s="247"/>
      <c r="W9" s="249">
        <v>10.772727272727272</v>
      </c>
      <c r="X9" s="199"/>
      <c r="Y9" s="199"/>
      <c r="Z9" s="199"/>
      <c r="AA9" s="199"/>
      <c r="AB9" s="199"/>
      <c r="AC9" s="199"/>
      <c r="AD9" s="199"/>
      <c r="AE9" s="247"/>
      <c r="AF9" s="247"/>
      <c r="AG9" s="199"/>
      <c r="AH9" s="199"/>
      <c r="AI9" s="249"/>
      <c r="AJ9" s="199"/>
      <c r="AK9" s="199"/>
      <c r="AL9" s="199"/>
      <c r="AM9" s="199"/>
      <c r="AN9" s="203"/>
      <c r="AO9" s="248"/>
      <c r="AP9" s="247"/>
      <c r="AQ9" s="248" t="s">
        <v>269</v>
      </c>
      <c r="AR9" s="199" t="s">
        <v>222</v>
      </c>
      <c r="AS9" s="202"/>
      <c r="AT9" s="202"/>
      <c r="AU9" s="202" t="s">
        <v>227</v>
      </c>
      <c r="AV9" s="202">
        <v>8.4710000000000001</v>
      </c>
      <c r="AW9" s="202"/>
      <c r="AX9" s="202"/>
      <c r="AY9" s="202"/>
      <c r="AZ9" s="202" t="s">
        <v>222</v>
      </c>
      <c r="BA9" s="202"/>
      <c r="BB9" s="199">
        <v>0</v>
      </c>
      <c r="BC9" s="202">
        <v>0</v>
      </c>
      <c r="BD9" s="202">
        <v>0</v>
      </c>
      <c r="BE9" s="202">
        <v>5</v>
      </c>
      <c r="BF9" s="202">
        <v>0</v>
      </c>
      <c r="BG9" s="202">
        <v>0</v>
      </c>
      <c r="BH9" s="202">
        <v>0</v>
      </c>
      <c r="BI9" s="202">
        <v>0</v>
      </c>
      <c r="BJ9" s="202">
        <v>0</v>
      </c>
      <c r="BK9" s="202">
        <v>0</v>
      </c>
      <c r="BL9" s="202"/>
      <c r="BM9" s="202"/>
      <c r="BN9" s="202">
        <v>12</v>
      </c>
      <c r="BO9" s="202" t="s">
        <v>222</v>
      </c>
      <c r="BP9" s="202"/>
      <c r="BQ9" s="202"/>
      <c r="BR9" s="202"/>
      <c r="BS9" s="202"/>
      <c r="BT9" s="202"/>
      <c r="BU9" s="202"/>
      <c r="BV9" s="202" t="s">
        <v>222</v>
      </c>
      <c r="BW9" s="202">
        <v>1</v>
      </c>
      <c r="BX9" s="202"/>
      <c r="BY9" s="205" t="s">
        <v>271</v>
      </c>
      <c r="BZ9" t="s">
        <v>259</v>
      </c>
    </row>
  </sheetData>
  <sheetProtection algorithmName="SHA-512" hashValue="cZtZBJzYjfxNS7Cgktl628REj6PJKSGovySGxkIDnoOtHeP08vrKfrEuE6IXv7Q2pjg3lPpqZdUbVm0d6mMyhQ==" saltValue="hMRNR/129cJoB/iK2lfJMg==" spinCount="100000" sheet="1" objects="1" scenarios="1"/>
  <hyperlinks>
    <hyperlink ref="BY4" r:id="rId1" xr:uid="{15CC79E2-8EB1-334F-9679-689B63BB489D}"/>
  </hyperlinks>
  <pageMargins left="0.75" right="0.75" top="1" bottom="1" header="0.5" footer="0.5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C2DC-12E4-B547-8C22-E815663C6788}">
  <sheetPr codeName="Sheet18"/>
  <dimension ref="A1:BZ9"/>
  <sheetViews>
    <sheetView zoomScale="90" zoomScaleNormal="90" zoomScalePageLayoutView="125" workbookViewId="0">
      <selection activeCell="BQ2" sqref="BQ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250</v>
      </c>
      <c r="AO1" s="18" t="s">
        <v>111</v>
      </c>
      <c r="AP1" s="18" t="s">
        <v>112</v>
      </c>
      <c r="AQ1" s="18" t="s">
        <v>113</v>
      </c>
      <c r="AR1" s="19" t="s">
        <v>114</v>
      </c>
      <c r="AS1" s="20" t="s">
        <v>115</v>
      </c>
      <c r="AT1" s="20" t="s">
        <v>88</v>
      </c>
      <c r="AU1" s="21" t="s">
        <v>89</v>
      </c>
      <c r="AV1" s="22" t="s">
        <v>90</v>
      </c>
      <c r="AW1" s="23" t="s">
        <v>91</v>
      </c>
      <c r="AX1" s="22"/>
      <c r="AY1" s="22"/>
      <c r="AZ1" s="22"/>
      <c r="BA1" s="24" t="s">
        <v>92</v>
      </c>
      <c r="BB1" s="25" t="s">
        <v>93</v>
      </c>
      <c r="BC1" s="26" t="s">
        <v>94</v>
      </c>
      <c r="BD1" s="27" t="s">
        <v>123</v>
      </c>
      <c r="BE1" s="28" t="s">
        <v>124</v>
      </c>
      <c r="BF1" s="27" t="s">
        <v>125</v>
      </c>
      <c r="BG1" s="28" t="s">
        <v>135</v>
      </c>
      <c r="BH1" s="29" t="s">
        <v>136</v>
      </c>
      <c r="BI1" s="26" t="s">
        <v>137</v>
      </c>
      <c r="BJ1" s="30" t="s">
        <v>138</v>
      </c>
      <c r="BK1" s="26" t="s">
        <v>139</v>
      </c>
      <c r="BL1" s="30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74" t="s">
        <v>272</v>
      </c>
      <c r="BR1" s="8" t="s">
        <v>251</v>
      </c>
      <c r="BS1" s="8" t="s">
        <v>252</v>
      </c>
      <c r="BT1" s="31" t="s">
        <v>12</v>
      </c>
      <c r="BU1" s="31" t="s">
        <v>60</v>
      </c>
      <c r="BV1" s="32" t="s">
        <v>53</v>
      </c>
      <c r="BW1" s="32" t="s">
        <v>8</v>
      </c>
      <c r="BX1" s="8" t="s">
        <v>253</v>
      </c>
      <c r="BY1" s="31" t="s">
        <v>11</v>
      </c>
    </row>
    <row r="2" spans="1:78" x14ac:dyDescent="0.15">
      <c r="A2" s="54">
        <v>1930</v>
      </c>
      <c r="B2" s="250">
        <v>42656</v>
      </c>
      <c r="C2" s="1" t="s">
        <v>219</v>
      </c>
      <c r="D2" s="179" t="s">
        <v>203</v>
      </c>
      <c r="E2" s="2"/>
      <c r="F2" s="2" t="s">
        <v>220</v>
      </c>
      <c r="G2" s="3">
        <v>42551</v>
      </c>
      <c r="H2" s="4" t="s">
        <v>221</v>
      </c>
      <c r="I2" s="4" t="s">
        <v>222</v>
      </c>
      <c r="J2" s="4"/>
      <c r="K2" s="55" t="s">
        <v>223</v>
      </c>
      <c r="L2" s="2" t="s">
        <v>224</v>
      </c>
      <c r="M2" s="198">
        <v>93.209090909090904</v>
      </c>
      <c r="N2" s="198">
        <v>30.963636363636365</v>
      </c>
      <c r="O2" s="2" t="s">
        <v>225</v>
      </c>
      <c r="P2" s="2">
        <v>500</v>
      </c>
      <c r="Q2" s="198">
        <v>22.909090909090907</v>
      </c>
      <c r="R2" s="2"/>
      <c r="S2" s="198"/>
      <c r="T2" s="180"/>
      <c r="U2" s="2"/>
      <c r="V2" s="198"/>
      <c r="W2" s="198"/>
      <c r="X2" s="2"/>
      <c r="Y2" s="2"/>
      <c r="Z2" s="2"/>
      <c r="AA2" s="2"/>
      <c r="AB2" s="2"/>
      <c r="AC2" s="2"/>
      <c r="AD2" s="2"/>
      <c r="AE2" s="198"/>
      <c r="AF2" s="198"/>
      <c r="AG2" s="2"/>
      <c r="AH2" s="2"/>
      <c r="AI2" s="198"/>
      <c r="AJ2" s="2"/>
      <c r="AK2" s="2"/>
      <c r="AL2" s="2"/>
      <c r="AM2" s="55"/>
      <c r="AN2" s="271"/>
      <c r="AO2" s="55"/>
      <c r="AP2" s="271"/>
      <c r="AQ2" s="55" t="s">
        <v>226</v>
      </c>
      <c r="AR2" s="55" t="s">
        <v>222</v>
      </c>
      <c r="AS2" s="56"/>
      <c r="AU2" s="56" t="s">
        <v>227</v>
      </c>
      <c r="AV2" s="4">
        <v>8.4710000000000001</v>
      </c>
      <c r="AW2" s="4"/>
      <c r="AX2" s="4"/>
      <c r="AY2" s="4"/>
      <c r="AZ2" s="4" t="s">
        <v>228</v>
      </c>
      <c r="BA2" s="56"/>
      <c r="BB2" s="55">
        <v>0</v>
      </c>
      <c r="BC2" s="56">
        <v>0</v>
      </c>
      <c r="BD2" s="56">
        <v>0</v>
      </c>
      <c r="BE2" s="4">
        <v>0</v>
      </c>
      <c r="BF2" s="56">
        <v>0</v>
      </c>
      <c r="BG2" s="56">
        <v>0</v>
      </c>
      <c r="BH2" s="56">
        <v>0</v>
      </c>
      <c r="BI2" s="56">
        <v>0</v>
      </c>
      <c r="BJ2" s="56">
        <v>0</v>
      </c>
      <c r="BK2" s="4">
        <v>0</v>
      </c>
      <c r="BL2" s="4"/>
      <c r="BM2" s="56" t="s">
        <v>222</v>
      </c>
      <c r="BN2" s="56"/>
      <c r="BO2" s="4" t="s">
        <v>221</v>
      </c>
      <c r="BP2" s="4"/>
      <c r="BQ2" s="4"/>
      <c r="BR2" s="4"/>
      <c r="BS2" s="4" t="s">
        <v>229</v>
      </c>
      <c r="BT2" s="2" t="s">
        <v>173</v>
      </c>
      <c r="BU2" s="57">
        <v>20</v>
      </c>
      <c r="BV2" s="4" t="s">
        <v>222</v>
      </c>
      <c r="BW2" s="56"/>
      <c r="BX2" s="56"/>
      <c r="BY2" s="55" t="s">
        <v>256</v>
      </c>
      <c r="BZ2" t="s">
        <v>257</v>
      </c>
    </row>
    <row r="3" spans="1:78" ht="13" customHeight="1" x14ac:dyDescent="0.15">
      <c r="A3" s="54">
        <v>4941</v>
      </c>
      <c r="B3" s="250">
        <v>42656</v>
      </c>
      <c r="C3" s="201" t="s">
        <v>219</v>
      </c>
      <c r="D3" s="199" t="s">
        <v>203</v>
      </c>
      <c r="E3" s="199"/>
      <c r="F3" s="199" t="s">
        <v>220</v>
      </c>
      <c r="G3" s="200">
        <v>42544</v>
      </c>
      <c r="H3" s="202" t="s">
        <v>221</v>
      </c>
      <c r="I3" s="202" t="s">
        <v>222</v>
      </c>
      <c r="J3" s="202"/>
      <c r="K3" s="199" t="s">
        <v>207</v>
      </c>
      <c r="L3" s="199" t="s">
        <v>208</v>
      </c>
      <c r="M3" s="249">
        <v>93.199999999999989</v>
      </c>
      <c r="N3" s="249">
        <v>30.963636363636365</v>
      </c>
      <c r="O3" s="199" t="s">
        <v>225</v>
      </c>
      <c r="P3" s="199">
        <v>500</v>
      </c>
      <c r="Q3" s="249">
        <v>22.9</v>
      </c>
      <c r="R3" s="199"/>
      <c r="S3" s="247"/>
      <c r="T3" s="204"/>
      <c r="U3" s="199"/>
      <c r="V3" s="247"/>
      <c r="W3" s="247"/>
      <c r="X3" s="199"/>
      <c r="Y3" s="199"/>
      <c r="Z3" s="199"/>
      <c r="AA3" s="199"/>
      <c r="AB3" s="199"/>
      <c r="AC3" s="199"/>
      <c r="AD3" s="199"/>
      <c r="AE3" s="247"/>
      <c r="AF3" s="247"/>
      <c r="AG3" s="199"/>
      <c r="AH3" s="199"/>
      <c r="AI3" s="247"/>
      <c r="AJ3" s="199"/>
      <c r="AK3" s="199"/>
      <c r="AL3" s="199"/>
      <c r="AM3" s="199"/>
      <c r="AN3" s="203"/>
      <c r="AO3" s="248"/>
      <c r="AP3" s="247"/>
      <c r="AQ3" s="248" t="s">
        <v>226</v>
      </c>
      <c r="AR3" s="199" t="s">
        <v>222</v>
      </c>
      <c r="AS3" s="202"/>
      <c r="AT3" s="202"/>
      <c r="AU3" s="202" t="s">
        <v>227</v>
      </c>
      <c r="AV3" s="202">
        <v>8.4710000000000001</v>
      </c>
      <c r="AW3" s="202"/>
      <c r="AX3" s="202"/>
      <c r="AY3" s="202"/>
      <c r="AZ3" s="202" t="s">
        <v>222</v>
      </c>
      <c r="BA3" s="202"/>
      <c r="BB3" s="199">
        <v>0</v>
      </c>
      <c r="BC3" s="202">
        <v>0</v>
      </c>
      <c r="BD3" s="202">
        <v>0</v>
      </c>
      <c r="BE3" s="202">
        <v>5</v>
      </c>
      <c r="BF3" s="202">
        <v>0</v>
      </c>
      <c r="BG3" s="202">
        <v>0</v>
      </c>
      <c r="BH3" s="202">
        <v>0</v>
      </c>
      <c r="BI3" s="202">
        <v>0</v>
      </c>
      <c r="BJ3" s="202">
        <v>0</v>
      </c>
      <c r="BK3" s="202">
        <v>0</v>
      </c>
      <c r="BL3" s="202"/>
      <c r="BM3" s="202"/>
      <c r="BN3" s="202">
        <v>12</v>
      </c>
      <c r="BO3" s="202" t="s">
        <v>222</v>
      </c>
      <c r="BP3" s="202"/>
      <c r="BQ3" s="202"/>
      <c r="BR3" s="202"/>
      <c r="BS3" s="202"/>
      <c r="BT3" s="202"/>
      <c r="BU3" s="202"/>
      <c r="BV3" s="202" t="s">
        <v>222</v>
      </c>
      <c r="BW3" s="202">
        <v>1</v>
      </c>
      <c r="BX3" s="202"/>
      <c r="BY3" s="205" t="s">
        <v>258</v>
      </c>
      <c r="BZ3" t="s">
        <v>259</v>
      </c>
    </row>
    <row r="4" spans="1:78" ht="13" customHeight="1" x14ac:dyDescent="0.15">
      <c r="A4" s="54">
        <v>90</v>
      </c>
      <c r="B4" s="250">
        <v>42657</v>
      </c>
      <c r="C4" s="201" t="s">
        <v>219</v>
      </c>
      <c r="D4" s="199" t="s">
        <v>203</v>
      </c>
      <c r="E4" s="199"/>
      <c r="F4" s="199" t="s">
        <v>220</v>
      </c>
      <c r="G4" s="200">
        <v>42452</v>
      </c>
      <c r="H4" s="202" t="s">
        <v>221</v>
      </c>
      <c r="I4" s="202" t="s">
        <v>222</v>
      </c>
      <c r="J4" s="202"/>
      <c r="K4" s="199" t="s">
        <v>260</v>
      </c>
      <c r="L4" s="199" t="s">
        <v>261</v>
      </c>
      <c r="M4" s="249">
        <v>94.5</v>
      </c>
      <c r="N4" s="249">
        <v>31.399999999999995</v>
      </c>
      <c r="O4" s="199" t="s">
        <v>225</v>
      </c>
      <c r="P4" s="199">
        <v>500</v>
      </c>
      <c r="Q4" s="249">
        <v>23.2</v>
      </c>
      <c r="R4" s="199"/>
      <c r="S4" s="247"/>
      <c r="T4" s="204"/>
      <c r="U4" s="199"/>
      <c r="V4" s="247"/>
      <c r="W4" s="247"/>
      <c r="X4" s="199"/>
      <c r="Y4" s="199"/>
      <c r="Z4" s="199"/>
      <c r="AA4" s="199"/>
      <c r="AB4" s="199"/>
      <c r="AC4" s="199"/>
      <c r="AD4" s="199"/>
      <c r="AE4" s="247"/>
      <c r="AF4" s="247"/>
      <c r="AG4" s="199"/>
      <c r="AH4" s="199"/>
      <c r="AI4" s="247"/>
      <c r="AJ4" s="199"/>
      <c r="AK4" s="199"/>
      <c r="AL4" s="199"/>
      <c r="AM4" s="199"/>
      <c r="AN4" s="203"/>
      <c r="AO4" s="248"/>
      <c r="AP4" s="247"/>
      <c r="AQ4" s="248" t="s">
        <v>226</v>
      </c>
      <c r="AR4" s="199" t="s">
        <v>222</v>
      </c>
      <c r="AS4" s="202"/>
      <c r="AT4" s="270"/>
      <c r="AU4" s="202"/>
      <c r="AV4" s="202"/>
      <c r="AW4" s="202"/>
      <c r="AX4" s="202"/>
      <c r="AY4" s="202"/>
      <c r="AZ4" s="202" t="s">
        <v>222</v>
      </c>
      <c r="BA4" s="202"/>
      <c r="BB4" s="199">
        <v>0</v>
      </c>
      <c r="BC4" s="202">
        <v>0</v>
      </c>
      <c r="BD4" s="202">
        <v>3</v>
      </c>
      <c r="BE4" s="202">
        <v>0</v>
      </c>
      <c r="BF4" s="202">
        <v>0</v>
      </c>
      <c r="BG4" s="202">
        <v>0</v>
      </c>
      <c r="BH4" s="202">
        <v>0</v>
      </c>
      <c r="BI4" s="202">
        <v>0</v>
      </c>
      <c r="BJ4" s="202">
        <v>0</v>
      </c>
      <c r="BK4" s="202">
        <v>0</v>
      </c>
      <c r="BL4" s="202"/>
      <c r="BM4" s="202" t="s">
        <v>222</v>
      </c>
      <c r="BN4" s="202"/>
      <c r="BO4" s="202" t="s">
        <v>222</v>
      </c>
      <c r="BP4" s="202"/>
      <c r="BQ4" s="202"/>
      <c r="BR4" s="202"/>
      <c r="BS4" s="202"/>
      <c r="BT4" s="202"/>
      <c r="BU4" s="202"/>
      <c r="BV4" s="202" t="s">
        <v>222</v>
      </c>
      <c r="BW4" s="202">
        <v>1</v>
      </c>
      <c r="BX4" s="202"/>
      <c r="BY4" s="205" t="s">
        <v>262</v>
      </c>
      <c r="BZ4" t="s">
        <v>259</v>
      </c>
    </row>
    <row r="5" spans="1:78" x14ac:dyDescent="0.15">
      <c r="A5" s="54">
        <v>1928</v>
      </c>
      <c r="B5" s="250">
        <v>42656</v>
      </c>
      <c r="C5" s="1" t="s">
        <v>219</v>
      </c>
      <c r="D5" s="179" t="s">
        <v>203</v>
      </c>
      <c r="E5" s="2"/>
      <c r="F5" s="2" t="s">
        <v>263</v>
      </c>
      <c r="G5" s="3">
        <v>42551</v>
      </c>
      <c r="H5" s="4" t="s">
        <v>221</v>
      </c>
      <c r="I5" s="4" t="s">
        <v>222</v>
      </c>
      <c r="J5" s="4"/>
      <c r="K5" s="55" t="s">
        <v>223</v>
      </c>
      <c r="L5" s="2" t="s">
        <v>224</v>
      </c>
      <c r="M5" s="198">
        <v>113.43636363636362</v>
      </c>
      <c r="N5" s="198">
        <v>30.963636363636365</v>
      </c>
      <c r="O5" s="2" t="s">
        <v>225</v>
      </c>
      <c r="P5" s="2">
        <v>500</v>
      </c>
      <c r="Q5" s="198">
        <v>22.909090909090907</v>
      </c>
      <c r="R5" s="2"/>
      <c r="S5" s="198"/>
      <c r="T5" s="180"/>
      <c r="U5" s="2"/>
      <c r="V5" s="198"/>
      <c r="W5" s="198"/>
      <c r="X5" s="2"/>
      <c r="Y5" s="2"/>
      <c r="Z5" s="2"/>
      <c r="AA5" s="2"/>
      <c r="AB5" s="2"/>
      <c r="AC5" s="2"/>
      <c r="AD5" s="2"/>
      <c r="AE5" s="198"/>
      <c r="AF5" s="198">
        <v>12.818181818181817</v>
      </c>
      <c r="AG5" s="2"/>
      <c r="AH5" s="2"/>
      <c r="AI5" s="198"/>
      <c r="AJ5" s="2"/>
      <c r="AK5" s="2"/>
      <c r="AL5" s="2"/>
      <c r="AM5" s="55"/>
      <c r="AN5" s="271"/>
      <c r="AO5" s="55"/>
      <c r="AP5" s="271"/>
      <c r="AQ5" s="55" t="s">
        <v>264</v>
      </c>
      <c r="AR5" s="55" t="s">
        <v>222</v>
      </c>
      <c r="AS5" s="56"/>
      <c r="AU5" s="56" t="s">
        <v>227</v>
      </c>
      <c r="AV5" s="4">
        <v>8.4710000000000001</v>
      </c>
      <c r="AW5" s="4"/>
      <c r="AX5" s="4"/>
      <c r="AY5" s="4"/>
      <c r="AZ5" s="4" t="s">
        <v>228</v>
      </c>
      <c r="BA5" s="56"/>
      <c r="BB5" s="55">
        <v>0</v>
      </c>
      <c r="BC5" s="56">
        <v>0</v>
      </c>
      <c r="BD5" s="56">
        <v>0</v>
      </c>
      <c r="BE5" s="4">
        <v>0</v>
      </c>
      <c r="BF5" s="56">
        <v>0</v>
      </c>
      <c r="BG5" s="56">
        <v>0</v>
      </c>
      <c r="BH5" s="56">
        <v>0</v>
      </c>
      <c r="BI5" s="56">
        <v>0</v>
      </c>
      <c r="BJ5" s="56">
        <v>0</v>
      </c>
      <c r="BK5" s="4">
        <v>0</v>
      </c>
      <c r="BL5" s="4"/>
      <c r="BM5" s="56" t="s">
        <v>222</v>
      </c>
      <c r="BN5" s="56"/>
      <c r="BO5" s="4" t="s">
        <v>221</v>
      </c>
      <c r="BP5" s="4"/>
      <c r="BQ5" s="4"/>
      <c r="BR5" s="4"/>
      <c r="BS5" s="4" t="s">
        <v>229</v>
      </c>
      <c r="BT5" s="199" t="s">
        <v>173</v>
      </c>
      <c r="BU5" s="57">
        <v>20</v>
      </c>
      <c r="BV5" s="202" t="s">
        <v>222</v>
      </c>
      <c r="BW5" s="56"/>
      <c r="BX5" s="56"/>
      <c r="BY5" s="55" t="s">
        <v>265</v>
      </c>
      <c r="BZ5" t="s">
        <v>257</v>
      </c>
    </row>
    <row r="6" spans="1:78" ht="13" customHeight="1" x14ac:dyDescent="0.15">
      <c r="A6" s="54">
        <v>4939</v>
      </c>
      <c r="B6" s="250">
        <v>42656</v>
      </c>
      <c r="C6" s="201" t="s">
        <v>219</v>
      </c>
      <c r="D6" s="199" t="s">
        <v>203</v>
      </c>
      <c r="E6" s="199"/>
      <c r="F6" s="199" t="s">
        <v>263</v>
      </c>
      <c r="G6" s="200">
        <v>42544</v>
      </c>
      <c r="H6" s="202" t="s">
        <v>221</v>
      </c>
      <c r="I6" s="202" t="s">
        <v>222</v>
      </c>
      <c r="J6" s="202"/>
      <c r="K6" s="199" t="s">
        <v>207</v>
      </c>
      <c r="L6" s="199" t="s">
        <v>208</v>
      </c>
      <c r="M6" s="249">
        <v>109.90909090909091</v>
      </c>
      <c r="N6" s="249">
        <v>30.963636363636365</v>
      </c>
      <c r="O6" s="199" t="s">
        <v>225</v>
      </c>
      <c r="P6" s="199">
        <v>500</v>
      </c>
      <c r="Q6" s="249">
        <v>22.9</v>
      </c>
      <c r="R6" s="199"/>
      <c r="S6" s="247"/>
      <c r="T6" s="204"/>
      <c r="U6" s="199"/>
      <c r="V6" s="247"/>
      <c r="W6" s="247"/>
      <c r="X6" s="199"/>
      <c r="Y6" s="199"/>
      <c r="Z6" s="199"/>
      <c r="AA6" s="199"/>
      <c r="AB6" s="199"/>
      <c r="AC6" s="199"/>
      <c r="AD6" s="199"/>
      <c r="AE6" s="247"/>
      <c r="AF6" s="249">
        <v>14.663636363636362</v>
      </c>
      <c r="AG6" s="199"/>
      <c r="AH6" s="199"/>
      <c r="AI6" s="247"/>
      <c r="AJ6" s="199"/>
      <c r="AK6" s="199"/>
      <c r="AL6" s="199"/>
      <c r="AM6" s="199"/>
      <c r="AN6" s="203"/>
      <c r="AO6" s="248"/>
      <c r="AP6" s="247"/>
      <c r="AQ6" s="248" t="s">
        <v>264</v>
      </c>
      <c r="AR6" s="199" t="s">
        <v>222</v>
      </c>
      <c r="AS6" s="202"/>
      <c r="AT6" s="202"/>
      <c r="AU6" s="202" t="s">
        <v>227</v>
      </c>
      <c r="AV6" s="202">
        <v>8.4710000000000001</v>
      </c>
      <c r="AW6" s="202"/>
      <c r="AX6" s="202"/>
      <c r="AY6" s="202"/>
      <c r="AZ6" s="202" t="s">
        <v>222</v>
      </c>
      <c r="BA6" s="202"/>
      <c r="BB6" s="199">
        <v>0</v>
      </c>
      <c r="BC6" s="202">
        <v>0</v>
      </c>
      <c r="BD6" s="202">
        <v>0</v>
      </c>
      <c r="BE6" s="202">
        <v>5</v>
      </c>
      <c r="BF6" s="202">
        <v>0</v>
      </c>
      <c r="BG6" s="202">
        <v>0</v>
      </c>
      <c r="BH6" s="202">
        <v>0</v>
      </c>
      <c r="BI6" s="202">
        <v>0</v>
      </c>
      <c r="BJ6" s="202">
        <v>0</v>
      </c>
      <c r="BK6" s="202">
        <v>0</v>
      </c>
      <c r="BL6" s="202"/>
      <c r="BM6" s="202"/>
      <c r="BN6" s="202">
        <v>12</v>
      </c>
      <c r="BO6" s="202" t="s">
        <v>222</v>
      </c>
      <c r="BP6" s="202"/>
      <c r="BQ6" s="202"/>
      <c r="BR6" s="202"/>
      <c r="BS6" s="202"/>
      <c r="BT6" s="202"/>
      <c r="BU6" s="202"/>
      <c r="BV6" s="202" t="s">
        <v>222</v>
      </c>
      <c r="BW6" s="202">
        <v>1</v>
      </c>
      <c r="BX6" s="202"/>
      <c r="BY6" s="205" t="s">
        <v>266</v>
      </c>
      <c r="BZ6" t="s">
        <v>257</v>
      </c>
    </row>
    <row r="7" spans="1:78" ht="13" customHeight="1" x14ac:dyDescent="0.15">
      <c r="A7" s="54">
        <v>88</v>
      </c>
      <c r="B7" s="250">
        <v>42657</v>
      </c>
      <c r="C7" s="201" t="s">
        <v>219</v>
      </c>
      <c r="D7" s="199" t="s">
        <v>203</v>
      </c>
      <c r="E7" s="199"/>
      <c r="F7" s="199" t="s">
        <v>263</v>
      </c>
      <c r="G7" s="200">
        <v>42452</v>
      </c>
      <c r="H7" s="202" t="s">
        <v>221</v>
      </c>
      <c r="I7" s="202" t="s">
        <v>222</v>
      </c>
      <c r="J7" s="202"/>
      <c r="K7" s="199" t="s">
        <v>260</v>
      </c>
      <c r="L7" s="199" t="s">
        <v>261</v>
      </c>
      <c r="M7" s="249">
        <v>102.3</v>
      </c>
      <c r="N7" s="249">
        <v>31.399999999999995</v>
      </c>
      <c r="O7" s="199" t="s">
        <v>225</v>
      </c>
      <c r="P7" s="199">
        <v>500</v>
      </c>
      <c r="Q7" s="249">
        <v>23.2</v>
      </c>
      <c r="R7" s="199"/>
      <c r="S7" s="247"/>
      <c r="T7" s="204"/>
      <c r="U7" s="199"/>
      <c r="V7" s="247"/>
      <c r="W7" s="247"/>
      <c r="X7" s="199"/>
      <c r="Y7" s="199"/>
      <c r="Z7" s="199"/>
      <c r="AA7" s="199"/>
      <c r="AB7" s="199"/>
      <c r="AC7" s="199"/>
      <c r="AD7" s="199"/>
      <c r="AE7" s="247"/>
      <c r="AF7" s="249">
        <v>14.899999999999999</v>
      </c>
      <c r="AG7" s="199"/>
      <c r="AH7" s="199"/>
      <c r="AI7" s="247"/>
      <c r="AJ7" s="199"/>
      <c r="AK7" s="199"/>
      <c r="AL7" s="199"/>
      <c r="AM7" s="199"/>
      <c r="AN7" s="203"/>
      <c r="AO7" s="248"/>
      <c r="AP7" s="247"/>
      <c r="AQ7" s="248" t="s">
        <v>264</v>
      </c>
      <c r="AR7" s="199" t="s">
        <v>222</v>
      </c>
      <c r="AS7" s="202"/>
      <c r="AT7" s="202"/>
      <c r="AU7" s="202"/>
      <c r="AV7" s="202"/>
      <c r="AW7" s="202"/>
      <c r="AX7" s="202"/>
      <c r="AY7" s="202"/>
      <c r="AZ7" s="202" t="s">
        <v>222</v>
      </c>
      <c r="BA7" s="202"/>
      <c r="BB7" s="199">
        <v>0</v>
      </c>
      <c r="BC7" s="202">
        <v>0</v>
      </c>
      <c r="BD7" s="202">
        <v>3</v>
      </c>
      <c r="BE7" s="202">
        <v>0</v>
      </c>
      <c r="BF7" s="202">
        <v>0</v>
      </c>
      <c r="BG7" s="202">
        <v>0</v>
      </c>
      <c r="BH7" s="202">
        <v>0</v>
      </c>
      <c r="BI7" s="202">
        <v>0</v>
      </c>
      <c r="BJ7" s="202">
        <v>0</v>
      </c>
      <c r="BK7" s="202">
        <v>0</v>
      </c>
      <c r="BL7" s="202"/>
      <c r="BM7" s="202" t="s">
        <v>222</v>
      </c>
      <c r="BN7" s="202"/>
      <c r="BO7" s="202" t="s">
        <v>222</v>
      </c>
      <c r="BP7" s="202"/>
      <c r="BQ7" s="202"/>
      <c r="BR7" s="202"/>
      <c r="BS7" s="202"/>
      <c r="BT7" s="202"/>
      <c r="BU7" s="202"/>
      <c r="BV7" s="202" t="s">
        <v>222</v>
      </c>
      <c r="BW7" s="202">
        <v>1</v>
      </c>
      <c r="BX7" s="202"/>
      <c r="BY7" s="205" t="s">
        <v>267</v>
      </c>
      <c r="BZ7" t="s">
        <v>259</v>
      </c>
    </row>
    <row r="8" spans="1:78" ht="13" customHeight="1" x14ac:dyDescent="0.15">
      <c r="A8" s="54">
        <v>1931</v>
      </c>
      <c r="B8" s="250">
        <v>42656</v>
      </c>
      <c r="C8" s="201" t="s">
        <v>219</v>
      </c>
      <c r="D8" s="199" t="s">
        <v>203</v>
      </c>
      <c r="E8" s="199"/>
      <c r="F8" s="199" t="s">
        <v>268</v>
      </c>
      <c r="G8" s="200">
        <v>42551</v>
      </c>
      <c r="H8" s="202" t="s">
        <v>221</v>
      </c>
      <c r="I8" s="202" t="s">
        <v>222</v>
      </c>
      <c r="J8" s="202"/>
      <c r="K8" s="199" t="s">
        <v>223</v>
      </c>
      <c r="L8" s="199" t="s">
        <v>224</v>
      </c>
      <c r="M8" s="203">
        <v>100.96363636363635</v>
      </c>
      <c r="N8" s="203">
        <v>25.481818181818181</v>
      </c>
      <c r="O8" s="199"/>
      <c r="P8" s="199"/>
      <c r="Q8" s="203"/>
      <c r="R8" s="199"/>
      <c r="S8" s="203"/>
      <c r="T8" s="204"/>
      <c r="U8" s="199"/>
      <c r="V8" s="203"/>
      <c r="W8" s="203">
        <v>10.772727272727272</v>
      </c>
      <c r="X8" s="199"/>
      <c r="Y8" s="199"/>
      <c r="Z8" s="199"/>
      <c r="AA8" s="199"/>
      <c r="AB8" s="199"/>
      <c r="AC8" s="199"/>
      <c r="AD8" s="199"/>
      <c r="AE8" s="203"/>
      <c r="AF8" s="203"/>
      <c r="AG8" s="199"/>
      <c r="AH8" s="199"/>
      <c r="AI8" s="203">
        <v>18.418181818181818</v>
      </c>
      <c r="AJ8" s="199"/>
      <c r="AK8" s="199"/>
      <c r="AL8" s="199"/>
      <c r="AM8" s="199"/>
      <c r="AN8" s="203"/>
      <c r="AO8" s="199"/>
      <c r="AP8" s="203"/>
      <c r="AQ8" s="199" t="s">
        <v>269</v>
      </c>
      <c r="AR8" s="199" t="s">
        <v>222</v>
      </c>
      <c r="AS8" s="202"/>
      <c r="AT8" s="202"/>
      <c r="AU8" s="202" t="s">
        <v>227</v>
      </c>
      <c r="AV8" s="202">
        <v>8.4710000000000001</v>
      </c>
      <c r="AW8" s="202"/>
      <c r="AX8" s="202"/>
      <c r="AY8" s="202"/>
      <c r="AZ8" s="202" t="s">
        <v>228</v>
      </c>
      <c r="BA8" s="202"/>
      <c r="BB8" s="199">
        <v>0</v>
      </c>
      <c r="BC8" s="202">
        <v>0</v>
      </c>
      <c r="BD8" s="202">
        <v>0</v>
      </c>
      <c r="BE8" s="202">
        <v>0</v>
      </c>
      <c r="BF8" s="202">
        <v>0</v>
      </c>
      <c r="BG8" s="202">
        <v>0</v>
      </c>
      <c r="BH8" s="202">
        <v>0</v>
      </c>
      <c r="BI8" s="202">
        <v>0</v>
      </c>
      <c r="BJ8" s="202">
        <v>0</v>
      </c>
      <c r="BK8" s="202">
        <v>0</v>
      </c>
      <c r="BL8" s="202"/>
      <c r="BM8" s="202" t="s">
        <v>222</v>
      </c>
      <c r="BN8" s="202"/>
      <c r="BO8" s="202" t="s">
        <v>222</v>
      </c>
      <c r="BP8" s="4"/>
      <c r="BQ8" s="202"/>
      <c r="BR8" s="202"/>
      <c r="BS8" s="202" t="s">
        <v>229</v>
      </c>
      <c r="BT8" s="199" t="s">
        <v>173</v>
      </c>
      <c r="BU8" s="205">
        <v>20</v>
      </c>
      <c r="BV8" s="202" t="s">
        <v>222</v>
      </c>
      <c r="BW8" s="202"/>
      <c r="BX8" s="202"/>
      <c r="BY8" s="199" t="s">
        <v>270</v>
      </c>
      <c r="BZ8" t="s">
        <v>257</v>
      </c>
    </row>
    <row r="9" spans="1:78" ht="13" customHeight="1" x14ac:dyDescent="0.15">
      <c r="A9" s="54">
        <v>4942</v>
      </c>
      <c r="B9" s="250">
        <v>42656</v>
      </c>
      <c r="C9" s="201" t="s">
        <v>219</v>
      </c>
      <c r="D9" s="199" t="s">
        <v>203</v>
      </c>
      <c r="E9" s="199"/>
      <c r="F9" s="199" t="s">
        <v>268</v>
      </c>
      <c r="G9" s="200">
        <v>42544</v>
      </c>
      <c r="H9" s="202" t="s">
        <v>221</v>
      </c>
      <c r="I9" s="202" t="s">
        <v>222</v>
      </c>
      <c r="J9" s="202"/>
      <c r="K9" s="199" t="s">
        <v>207</v>
      </c>
      <c r="L9" s="199" t="s">
        <v>208</v>
      </c>
      <c r="M9" s="203">
        <v>100.96363636363635</v>
      </c>
      <c r="N9" s="249">
        <v>25.481818181818181</v>
      </c>
      <c r="O9" s="199"/>
      <c r="P9" s="199"/>
      <c r="Q9" s="247"/>
      <c r="R9" s="199"/>
      <c r="S9" s="247"/>
      <c r="T9" s="204"/>
      <c r="U9" s="199"/>
      <c r="V9" s="247"/>
      <c r="W9" s="249">
        <v>10.772727272727272</v>
      </c>
      <c r="X9" s="199"/>
      <c r="Y9" s="199"/>
      <c r="Z9" s="199"/>
      <c r="AA9" s="199"/>
      <c r="AB9" s="199"/>
      <c r="AC9" s="199"/>
      <c r="AD9" s="199"/>
      <c r="AE9" s="247"/>
      <c r="AF9" s="247"/>
      <c r="AG9" s="199"/>
      <c r="AH9" s="199"/>
      <c r="AI9" s="249"/>
      <c r="AJ9" s="199"/>
      <c r="AK9" s="199"/>
      <c r="AL9" s="199"/>
      <c r="AM9" s="199"/>
      <c r="AN9" s="203"/>
      <c r="AO9" s="248"/>
      <c r="AP9" s="247"/>
      <c r="AQ9" s="248" t="s">
        <v>269</v>
      </c>
      <c r="AR9" s="199" t="s">
        <v>222</v>
      </c>
      <c r="AS9" s="202"/>
      <c r="AT9" s="202"/>
      <c r="AU9" s="202" t="s">
        <v>227</v>
      </c>
      <c r="AV9" s="202">
        <v>8.4710000000000001</v>
      </c>
      <c r="AW9" s="202"/>
      <c r="AX9" s="202"/>
      <c r="AY9" s="202"/>
      <c r="AZ9" s="202" t="s">
        <v>222</v>
      </c>
      <c r="BA9" s="202"/>
      <c r="BB9" s="199">
        <v>0</v>
      </c>
      <c r="BC9" s="202">
        <v>0</v>
      </c>
      <c r="BD9" s="202">
        <v>0</v>
      </c>
      <c r="BE9" s="202">
        <v>5</v>
      </c>
      <c r="BF9" s="202">
        <v>0</v>
      </c>
      <c r="BG9" s="202">
        <v>0</v>
      </c>
      <c r="BH9" s="202">
        <v>0</v>
      </c>
      <c r="BI9" s="202">
        <v>0</v>
      </c>
      <c r="BJ9" s="202">
        <v>0</v>
      </c>
      <c r="BK9" s="202">
        <v>0</v>
      </c>
      <c r="BL9" s="202"/>
      <c r="BM9" s="202"/>
      <c r="BN9" s="202">
        <v>12</v>
      </c>
      <c r="BO9" s="202" t="s">
        <v>222</v>
      </c>
      <c r="BP9" s="202"/>
      <c r="BQ9" s="202"/>
      <c r="BR9" s="202"/>
      <c r="BS9" s="202"/>
      <c r="BT9" s="202"/>
      <c r="BU9" s="202"/>
      <c r="BV9" s="202" t="s">
        <v>222</v>
      </c>
      <c r="BW9" s="202">
        <v>1</v>
      </c>
      <c r="BX9" s="202"/>
      <c r="BY9" s="205" t="s">
        <v>271</v>
      </c>
      <c r="BZ9" t="s">
        <v>259</v>
      </c>
    </row>
  </sheetData>
  <sheetProtection algorithmName="SHA-512" hashValue="/NKUNR3mAUIAXuUdcamNKD/QFv6cayClnuiUPdMxCwCGzCXuu4qzo8XDvWq7RfGBCM6w3aC37b8lzBy8OFmYtA==" saltValue="jBkjCAQfBhsEVNH1q4hjUA==" spinCount="100000" sheet="1" objects="1" scenarios="1"/>
  <pageMargins left="0.75" right="0.75" top="1" bottom="1" header="0.5" footer="0.5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1E9DF-699E-0B42-AD9A-749CA3BEFBB5}">
  <sheetPr codeName="Sheet9"/>
  <dimension ref="A1:BY7"/>
  <sheetViews>
    <sheetView topLeftCell="BA1" zoomScaleNormal="100" zoomScalePageLayoutView="125" workbookViewId="0">
      <selection activeCell="BQ2" sqref="BQ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250</v>
      </c>
      <c r="AO1" s="18" t="s">
        <v>111</v>
      </c>
      <c r="AP1" s="18" t="s">
        <v>112</v>
      </c>
      <c r="AQ1" s="18" t="s">
        <v>113</v>
      </c>
      <c r="AR1" s="19" t="s">
        <v>114</v>
      </c>
      <c r="AS1" s="20" t="s">
        <v>115</v>
      </c>
      <c r="AT1" s="20" t="s">
        <v>88</v>
      </c>
      <c r="AU1" s="21" t="s">
        <v>89</v>
      </c>
      <c r="AV1" s="22" t="s">
        <v>90</v>
      </c>
      <c r="AW1" s="23" t="s">
        <v>91</v>
      </c>
      <c r="AX1" s="22"/>
      <c r="AY1" s="22"/>
      <c r="AZ1" s="22"/>
      <c r="BA1" s="24" t="s">
        <v>92</v>
      </c>
      <c r="BB1" s="25" t="s">
        <v>93</v>
      </c>
      <c r="BC1" s="26" t="s">
        <v>94</v>
      </c>
      <c r="BD1" s="27" t="s">
        <v>123</v>
      </c>
      <c r="BE1" s="28" t="s">
        <v>124</v>
      </c>
      <c r="BF1" s="27" t="s">
        <v>125</v>
      </c>
      <c r="BG1" s="28" t="s">
        <v>135</v>
      </c>
      <c r="BH1" s="29" t="s">
        <v>136</v>
      </c>
      <c r="BI1" s="26" t="s">
        <v>137</v>
      </c>
      <c r="BJ1" s="30" t="s">
        <v>138</v>
      </c>
      <c r="BK1" s="26" t="s">
        <v>139</v>
      </c>
      <c r="BL1" s="30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74" t="s">
        <v>272</v>
      </c>
      <c r="BR1" s="8" t="s">
        <v>251</v>
      </c>
      <c r="BS1" s="8" t="s">
        <v>252</v>
      </c>
      <c r="BT1" s="31" t="s">
        <v>12</v>
      </c>
      <c r="BU1" s="31" t="s">
        <v>60</v>
      </c>
      <c r="BV1" s="32" t="s">
        <v>53</v>
      </c>
      <c r="BW1" s="32" t="s">
        <v>8</v>
      </c>
      <c r="BX1" s="8" t="s">
        <v>253</v>
      </c>
      <c r="BY1" s="31" t="s">
        <v>11</v>
      </c>
    </row>
    <row r="2" spans="1:77" x14ac:dyDescent="0.15">
      <c r="A2" s="54">
        <v>1930</v>
      </c>
      <c r="B2" s="250">
        <v>42468</v>
      </c>
      <c r="C2" s="1" t="s">
        <v>219</v>
      </c>
      <c r="D2" s="179" t="s">
        <v>203</v>
      </c>
      <c r="E2" s="2"/>
      <c r="F2" s="2" t="s">
        <v>220</v>
      </c>
      <c r="G2" s="3">
        <v>42185</v>
      </c>
      <c r="H2" s="4" t="s">
        <v>221</v>
      </c>
      <c r="I2" s="4" t="s">
        <v>222</v>
      </c>
      <c r="J2" s="4"/>
      <c r="K2" s="55" t="s">
        <v>223</v>
      </c>
      <c r="L2" s="2" t="s">
        <v>224</v>
      </c>
      <c r="M2" s="198">
        <v>94.518181818181816</v>
      </c>
      <c r="N2" s="198">
        <v>31.399999999999995</v>
      </c>
      <c r="O2" s="2" t="s">
        <v>225</v>
      </c>
      <c r="P2" s="2">
        <v>500</v>
      </c>
      <c r="Q2" s="198">
        <v>23.227272727272727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5"/>
      <c r="AN2" s="55"/>
      <c r="AO2" s="55"/>
      <c r="AP2" s="55"/>
      <c r="AQ2" s="55"/>
      <c r="AR2" s="55" t="s">
        <v>226</v>
      </c>
      <c r="AS2" s="56" t="s">
        <v>222</v>
      </c>
      <c r="AU2" s="56"/>
      <c r="AV2" s="4" t="s">
        <v>227</v>
      </c>
      <c r="AW2" s="4">
        <v>9.3469999999999995</v>
      </c>
      <c r="AX2" s="4"/>
      <c r="AY2" s="4"/>
      <c r="AZ2" s="4"/>
      <c r="BA2" s="56" t="s">
        <v>228</v>
      </c>
      <c r="BB2" s="55"/>
      <c r="BC2" s="56">
        <v>0</v>
      </c>
      <c r="BD2" s="56">
        <v>0</v>
      </c>
      <c r="BE2" s="4">
        <v>0</v>
      </c>
      <c r="BF2" s="56">
        <v>0</v>
      </c>
      <c r="BG2" s="56">
        <v>0</v>
      </c>
      <c r="BH2" s="56">
        <v>0</v>
      </c>
      <c r="BI2" s="56">
        <v>0</v>
      </c>
      <c r="BJ2" s="56">
        <v>0</v>
      </c>
      <c r="BK2" s="4">
        <v>0</v>
      </c>
      <c r="BL2" s="4">
        <v>0</v>
      </c>
      <c r="BM2" s="56"/>
      <c r="BN2" s="56" t="s">
        <v>222</v>
      </c>
      <c r="BO2" s="4"/>
      <c r="BP2" s="4" t="s">
        <v>221</v>
      </c>
      <c r="BQ2" s="4"/>
      <c r="BR2" s="4"/>
      <c r="BS2" s="4"/>
      <c r="BT2" s="2" t="s">
        <v>229</v>
      </c>
      <c r="BU2" s="57" t="s">
        <v>173</v>
      </c>
      <c r="BV2" s="4">
        <v>20</v>
      </c>
      <c r="BW2" s="56" t="s">
        <v>222</v>
      </c>
      <c r="BX2" s="56"/>
      <c r="BY2" s="55"/>
    </row>
    <row r="3" spans="1:77" ht="13" customHeight="1" x14ac:dyDescent="0.15">
      <c r="A3" s="54">
        <v>4941</v>
      </c>
      <c r="B3" s="250">
        <v>42468</v>
      </c>
      <c r="C3" s="201" t="s">
        <v>230</v>
      </c>
      <c r="D3" s="199" t="s">
        <v>203</v>
      </c>
      <c r="E3" s="199"/>
      <c r="F3" s="199" t="s">
        <v>254</v>
      </c>
      <c r="G3" s="200">
        <v>42427</v>
      </c>
      <c r="H3" s="202" t="s">
        <v>221</v>
      </c>
      <c r="I3" s="202" t="s">
        <v>222</v>
      </c>
      <c r="J3" s="202"/>
      <c r="K3" s="199" t="s">
        <v>207</v>
      </c>
      <c r="L3" s="199" t="s">
        <v>208</v>
      </c>
      <c r="M3" s="249">
        <v>94.509090909090901</v>
      </c>
      <c r="N3" s="249">
        <v>31.399999999999995</v>
      </c>
      <c r="O3" s="199" t="s">
        <v>241</v>
      </c>
      <c r="P3" s="199">
        <v>500</v>
      </c>
      <c r="Q3" s="249">
        <v>23.218181818181815</v>
      </c>
      <c r="R3" s="199"/>
      <c r="S3" s="247"/>
      <c r="T3" s="204"/>
      <c r="U3" s="199"/>
      <c r="V3" s="247"/>
      <c r="W3" s="247"/>
      <c r="X3" s="199"/>
      <c r="Y3" s="199"/>
      <c r="Z3" s="199"/>
      <c r="AA3" s="199"/>
      <c r="AB3" s="199"/>
      <c r="AC3" s="199"/>
      <c r="AD3" s="199"/>
      <c r="AE3" s="247"/>
      <c r="AF3" s="247"/>
      <c r="AG3" s="199"/>
      <c r="AH3" s="199"/>
      <c r="AI3" s="247"/>
      <c r="AJ3" s="199"/>
      <c r="AK3" s="199"/>
      <c r="AL3" s="199"/>
      <c r="AM3" s="199"/>
      <c r="AN3" s="199"/>
      <c r="AO3" s="247"/>
      <c r="AP3" s="248"/>
      <c r="AQ3" s="247"/>
      <c r="AR3" s="199" t="s">
        <v>255</v>
      </c>
      <c r="AS3" s="202" t="s">
        <v>233</v>
      </c>
      <c r="AT3" s="202"/>
      <c r="AU3" s="202"/>
      <c r="AV3" s="202" t="s">
        <v>238</v>
      </c>
      <c r="AW3" s="202">
        <v>9.3469999999999995</v>
      </c>
      <c r="AX3" s="202"/>
      <c r="AY3" s="202"/>
      <c r="AZ3" s="202"/>
      <c r="BA3" s="202" t="s">
        <v>233</v>
      </c>
      <c r="BB3" s="199"/>
      <c r="BC3" s="202">
        <v>0</v>
      </c>
      <c r="BD3" s="202">
        <v>0</v>
      </c>
      <c r="BE3" s="202">
        <v>0</v>
      </c>
      <c r="BF3" s="202">
        <v>5</v>
      </c>
      <c r="BG3" s="202">
        <v>0</v>
      </c>
      <c r="BH3" s="202">
        <v>0</v>
      </c>
      <c r="BI3" s="202">
        <v>0</v>
      </c>
      <c r="BJ3" s="202">
        <v>0</v>
      </c>
      <c r="BK3" s="202">
        <v>0</v>
      </c>
      <c r="BL3" s="202">
        <v>0</v>
      </c>
      <c r="BM3" s="202"/>
      <c r="BN3" s="202"/>
      <c r="BO3" s="202">
        <v>12</v>
      </c>
      <c r="BP3" s="202" t="s">
        <v>233</v>
      </c>
      <c r="BQ3" s="202"/>
      <c r="BR3" s="202"/>
      <c r="BS3" s="202"/>
      <c r="BT3" s="202"/>
      <c r="BU3" s="202"/>
      <c r="BV3" s="202"/>
      <c r="BW3" s="202" t="s">
        <v>233</v>
      </c>
      <c r="BX3" s="202">
        <v>1</v>
      </c>
      <c r="BY3" s="205"/>
    </row>
    <row r="4" spans="1:77" x14ac:dyDescent="0.15">
      <c r="A4" s="54">
        <v>1928</v>
      </c>
      <c r="B4" s="250">
        <v>42468</v>
      </c>
      <c r="C4" s="1" t="s">
        <v>186</v>
      </c>
      <c r="D4" s="179" t="s">
        <v>203</v>
      </c>
      <c r="E4" s="2"/>
      <c r="F4" s="2" t="s">
        <v>195</v>
      </c>
      <c r="G4" s="3">
        <v>42185</v>
      </c>
      <c r="H4" s="4" t="s">
        <v>188</v>
      </c>
      <c r="I4" s="4" t="s">
        <v>189</v>
      </c>
      <c r="J4" s="4"/>
      <c r="K4" s="55" t="s">
        <v>190</v>
      </c>
      <c r="L4" s="2" t="s">
        <v>191</v>
      </c>
      <c r="M4" s="2">
        <v>111.46</v>
      </c>
      <c r="N4" s="198">
        <v>31.399999999999995</v>
      </c>
      <c r="O4" s="2" t="s">
        <v>130</v>
      </c>
      <c r="P4" s="2">
        <v>500</v>
      </c>
      <c r="Q4" s="2">
        <v>23.23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14.87</v>
      </c>
      <c r="AG4" s="2"/>
      <c r="AH4" s="2"/>
      <c r="AI4" s="2"/>
      <c r="AJ4" s="2"/>
      <c r="AK4" s="2"/>
      <c r="AL4" s="2"/>
      <c r="AM4" s="55"/>
      <c r="AN4" s="55"/>
      <c r="AO4" s="55"/>
      <c r="AP4" s="55"/>
      <c r="AQ4" s="55"/>
      <c r="AR4" s="55" t="s">
        <v>196</v>
      </c>
      <c r="AS4" s="56" t="s">
        <v>189</v>
      </c>
      <c r="AU4" s="56"/>
      <c r="AV4" s="4" t="s">
        <v>193</v>
      </c>
      <c r="AW4" s="4">
        <v>9.3469999999999995</v>
      </c>
      <c r="AX4" s="4"/>
      <c r="AY4" s="4"/>
      <c r="AZ4" s="4"/>
      <c r="BA4" s="56" t="s">
        <v>194</v>
      </c>
      <c r="BB4" s="55"/>
      <c r="BC4" s="56">
        <v>0</v>
      </c>
      <c r="BD4" s="56">
        <v>0</v>
      </c>
      <c r="BE4" s="4">
        <v>0</v>
      </c>
      <c r="BF4" s="56">
        <v>0</v>
      </c>
      <c r="BG4" s="56">
        <v>0</v>
      </c>
      <c r="BH4" s="56">
        <v>0</v>
      </c>
      <c r="BI4" s="56">
        <v>0</v>
      </c>
      <c r="BJ4" s="56">
        <v>0</v>
      </c>
      <c r="BK4" s="4">
        <v>0</v>
      </c>
      <c r="BL4" s="4">
        <v>0</v>
      </c>
      <c r="BM4" s="56"/>
      <c r="BN4" s="56" t="s">
        <v>189</v>
      </c>
      <c r="BO4" s="4"/>
      <c r="BP4" s="4" t="s">
        <v>188</v>
      </c>
      <c r="BQ4" s="4"/>
      <c r="BR4" s="4"/>
      <c r="BS4" s="4"/>
      <c r="BT4" s="199" t="s">
        <v>229</v>
      </c>
      <c r="BU4" s="57" t="s">
        <v>173</v>
      </c>
      <c r="BV4" s="202">
        <v>20</v>
      </c>
      <c r="BW4" s="56" t="s">
        <v>189</v>
      </c>
      <c r="BX4" s="56"/>
      <c r="BY4" s="55"/>
    </row>
    <row r="5" spans="1:77" ht="13" customHeight="1" x14ac:dyDescent="0.15">
      <c r="A5" s="54">
        <v>4939</v>
      </c>
      <c r="B5" s="250">
        <v>42468</v>
      </c>
      <c r="C5" s="201" t="s">
        <v>230</v>
      </c>
      <c r="D5" s="199" t="s">
        <v>203</v>
      </c>
      <c r="E5" s="199"/>
      <c r="F5" s="199" t="s">
        <v>240</v>
      </c>
      <c r="G5" s="200">
        <v>42427</v>
      </c>
      <c r="H5" s="202" t="s">
        <v>221</v>
      </c>
      <c r="I5" s="202" t="s">
        <v>222</v>
      </c>
      <c r="J5" s="202"/>
      <c r="K5" s="199" t="s">
        <v>207</v>
      </c>
      <c r="L5" s="199" t="s">
        <v>208</v>
      </c>
      <c r="M5" s="249">
        <v>111.44545454545454</v>
      </c>
      <c r="N5" s="249">
        <v>31.399999999999995</v>
      </c>
      <c r="O5" s="199" t="s">
        <v>241</v>
      </c>
      <c r="P5" s="199">
        <v>500</v>
      </c>
      <c r="Q5" s="249">
        <v>23.218181818181815</v>
      </c>
      <c r="R5" s="199"/>
      <c r="S5" s="247"/>
      <c r="T5" s="204"/>
      <c r="U5" s="199"/>
      <c r="V5" s="247"/>
      <c r="W5" s="247"/>
      <c r="X5" s="199"/>
      <c r="Y5" s="199"/>
      <c r="Z5" s="199"/>
      <c r="AA5" s="199"/>
      <c r="AB5" s="199"/>
      <c r="AC5" s="199"/>
      <c r="AD5" s="199"/>
      <c r="AE5" s="247"/>
      <c r="AF5" s="249">
        <v>14.872727272727271</v>
      </c>
      <c r="AG5" s="199"/>
      <c r="AH5" s="199"/>
      <c r="AI5" s="247"/>
      <c r="AJ5" s="199"/>
      <c r="AK5" s="199"/>
      <c r="AL5" s="199"/>
      <c r="AM5" s="199"/>
      <c r="AN5" s="199"/>
      <c r="AO5" s="247"/>
      <c r="AP5" s="248"/>
      <c r="AQ5" s="247"/>
      <c r="AR5" s="199" t="s">
        <v>242</v>
      </c>
      <c r="AS5" s="202" t="s">
        <v>233</v>
      </c>
      <c r="AT5" s="202"/>
      <c r="AU5" s="202"/>
      <c r="AV5" s="202" t="s">
        <v>238</v>
      </c>
      <c r="AW5" s="202">
        <v>9.3469999999999995</v>
      </c>
      <c r="AX5" s="202"/>
      <c r="AY5" s="202"/>
      <c r="AZ5" s="202"/>
      <c r="BA5" s="202" t="s">
        <v>233</v>
      </c>
      <c r="BB5" s="199"/>
      <c r="BC5" s="202">
        <v>0</v>
      </c>
      <c r="BD5" s="202">
        <v>0</v>
      </c>
      <c r="BE5" s="202">
        <v>0</v>
      </c>
      <c r="BF5" s="202">
        <v>5</v>
      </c>
      <c r="BG5" s="202">
        <v>0</v>
      </c>
      <c r="BH5" s="202">
        <v>0</v>
      </c>
      <c r="BI5" s="202">
        <v>0</v>
      </c>
      <c r="BJ5" s="202">
        <v>0</v>
      </c>
      <c r="BK5" s="202">
        <v>0</v>
      </c>
      <c r="BL5" s="202">
        <v>0</v>
      </c>
      <c r="BM5" s="202"/>
      <c r="BN5" s="202"/>
      <c r="BO5" s="202">
        <v>12</v>
      </c>
      <c r="BP5" s="202" t="s">
        <v>233</v>
      </c>
      <c r="BQ5" s="202"/>
      <c r="BR5" s="202"/>
      <c r="BS5" s="202"/>
      <c r="BT5" s="202"/>
      <c r="BU5" s="202"/>
      <c r="BV5" s="202"/>
      <c r="BW5" s="202" t="s">
        <v>233</v>
      </c>
      <c r="BX5" s="202">
        <v>1</v>
      </c>
      <c r="BY5" s="205"/>
    </row>
    <row r="6" spans="1:77" ht="13" customHeight="1" x14ac:dyDescent="0.15">
      <c r="A6" s="54">
        <v>1931</v>
      </c>
      <c r="B6" s="250">
        <v>42468</v>
      </c>
      <c r="C6" s="201" t="s">
        <v>230</v>
      </c>
      <c r="D6" s="199" t="s">
        <v>203</v>
      </c>
      <c r="E6" s="199"/>
      <c r="F6" s="199" t="s">
        <v>231</v>
      </c>
      <c r="G6" s="200">
        <v>42185</v>
      </c>
      <c r="H6" s="202" t="s">
        <v>232</v>
      </c>
      <c r="I6" s="202" t="s">
        <v>233</v>
      </c>
      <c r="J6" s="202"/>
      <c r="K6" s="199" t="s">
        <v>234</v>
      </c>
      <c r="L6" s="199" t="s">
        <v>235</v>
      </c>
      <c r="M6" s="203">
        <v>102.37272727272726</v>
      </c>
      <c r="N6" s="203">
        <v>25.881818181818179</v>
      </c>
      <c r="O6" s="199"/>
      <c r="P6" s="199"/>
      <c r="Q6" s="203" t="s">
        <v>236</v>
      </c>
      <c r="R6" s="199"/>
      <c r="S6" s="203"/>
      <c r="T6" s="204"/>
      <c r="U6" s="199"/>
      <c r="V6" s="203" t="s">
        <v>236</v>
      </c>
      <c r="W6" s="203">
        <v>10.927272727272726</v>
      </c>
      <c r="X6" s="199"/>
      <c r="Y6" s="199"/>
      <c r="Z6" s="199"/>
      <c r="AA6" s="199"/>
      <c r="AB6" s="199"/>
      <c r="AC6" s="199"/>
      <c r="AD6" s="199"/>
      <c r="AE6" s="203" t="s">
        <v>236</v>
      </c>
      <c r="AF6" s="203" t="s">
        <v>236</v>
      </c>
      <c r="AG6" s="199"/>
      <c r="AH6" s="199"/>
      <c r="AI6" s="203">
        <v>18.672727272727272</v>
      </c>
      <c r="AJ6" s="199"/>
      <c r="AK6" s="199"/>
      <c r="AL6" s="199"/>
      <c r="AM6" s="199"/>
      <c r="AN6" s="199"/>
      <c r="AO6" s="203" t="s">
        <v>236</v>
      </c>
      <c r="AP6" s="203" t="s">
        <v>236</v>
      </c>
      <c r="AQ6" s="203" t="s">
        <v>236</v>
      </c>
      <c r="AR6" s="199" t="s">
        <v>237</v>
      </c>
      <c r="AS6" s="202" t="s">
        <v>233</v>
      </c>
      <c r="AT6" s="202"/>
      <c r="AU6" s="202"/>
      <c r="AV6" s="202" t="s">
        <v>238</v>
      </c>
      <c r="AW6" s="202">
        <v>9.3469999999999995</v>
      </c>
      <c r="AX6" s="202"/>
      <c r="AY6" s="202"/>
      <c r="AZ6" s="202"/>
      <c r="BA6" s="202" t="s">
        <v>239</v>
      </c>
      <c r="BB6" s="199"/>
      <c r="BC6" s="202">
        <v>0</v>
      </c>
      <c r="BD6" s="202">
        <v>0</v>
      </c>
      <c r="BE6" s="202">
        <v>0</v>
      </c>
      <c r="BF6" s="202">
        <v>0</v>
      </c>
      <c r="BG6" s="202">
        <v>0</v>
      </c>
      <c r="BH6" s="202">
        <v>0</v>
      </c>
      <c r="BI6" s="202">
        <v>0</v>
      </c>
      <c r="BJ6" s="202">
        <v>0</v>
      </c>
      <c r="BK6" s="202">
        <v>0</v>
      </c>
      <c r="BL6" s="202">
        <v>0</v>
      </c>
      <c r="BM6" s="202"/>
      <c r="BN6" s="202" t="s">
        <v>233</v>
      </c>
      <c r="BO6" s="202"/>
      <c r="BP6" s="4" t="s">
        <v>188</v>
      </c>
      <c r="BQ6" s="202"/>
      <c r="BR6" s="202"/>
      <c r="BS6" s="202"/>
      <c r="BT6" s="199" t="s">
        <v>229</v>
      </c>
      <c r="BU6" s="205" t="s">
        <v>173</v>
      </c>
      <c r="BV6" s="202">
        <v>20</v>
      </c>
      <c r="BW6" s="202" t="s">
        <v>233</v>
      </c>
      <c r="BX6" s="202"/>
      <c r="BY6" s="199"/>
    </row>
    <row r="7" spans="1:77" ht="13" customHeight="1" x14ac:dyDescent="0.15">
      <c r="A7" s="54">
        <v>4942</v>
      </c>
      <c r="B7" s="250">
        <v>42468</v>
      </c>
      <c r="C7" s="201" t="s">
        <v>230</v>
      </c>
      <c r="D7" s="199" t="s">
        <v>203</v>
      </c>
      <c r="E7" s="199"/>
      <c r="F7" s="199" t="s">
        <v>231</v>
      </c>
      <c r="G7" s="200">
        <v>42427</v>
      </c>
      <c r="H7" s="202" t="s">
        <v>221</v>
      </c>
      <c r="I7" s="202" t="s">
        <v>222</v>
      </c>
      <c r="J7" s="202"/>
      <c r="K7" s="199" t="s">
        <v>207</v>
      </c>
      <c r="L7" s="199" t="s">
        <v>208</v>
      </c>
      <c r="M7" s="203">
        <v>102.37272727272726</v>
      </c>
      <c r="N7" s="249">
        <v>25.836363636363636</v>
      </c>
      <c r="O7" s="199"/>
      <c r="P7" s="199"/>
      <c r="Q7" s="247"/>
      <c r="R7" s="199"/>
      <c r="S7" s="247"/>
      <c r="T7" s="204"/>
      <c r="U7" s="199"/>
      <c r="V7" s="247"/>
      <c r="W7" s="249">
        <v>10.918181818181818</v>
      </c>
      <c r="X7" s="199"/>
      <c r="Y7" s="199"/>
      <c r="Z7" s="199"/>
      <c r="AA7" s="199"/>
      <c r="AB7" s="199"/>
      <c r="AC7" s="199"/>
      <c r="AD7" s="199"/>
      <c r="AE7" s="247"/>
      <c r="AF7" s="247"/>
      <c r="AG7" s="199"/>
      <c r="AH7" s="199"/>
      <c r="AI7" s="249">
        <v>18.309999999999999</v>
      </c>
      <c r="AJ7" s="199"/>
      <c r="AK7" s="199"/>
      <c r="AL7" s="199"/>
      <c r="AM7" s="199"/>
      <c r="AN7" s="199"/>
      <c r="AO7" s="247"/>
      <c r="AP7" s="248"/>
      <c r="AQ7" s="247"/>
      <c r="AR7" s="199" t="s">
        <v>237</v>
      </c>
      <c r="AS7" s="202" t="s">
        <v>233</v>
      </c>
      <c r="AT7" s="202"/>
      <c r="AU7" s="202"/>
      <c r="AV7" s="202" t="s">
        <v>238</v>
      </c>
      <c r="AW7" s="202">
        <v>9.3469999999999995</v>
      </c>
      <c r="AX7" s="202"/>
      <c r="AY7" s="202"/>
      <c r="AZ7" s="202"/>
      <c r="BA7" s="202" t="s">
        <v>233</v>
      </c>
      <c r="BB7" s="199"/>
      <c r="BC7" s="202">
        <v>0</v>
      </c>
      <c r="BD7" s="202">
        <v>0</v>
      </c>
      <c r="BE7" s="202">
        <v>0</v>
      </c>
      <c r="BF7" s="202">
        <v>5</v>
      </c>
      <c r="BG7" s="202">
        <v>0</v>
      </c>
      <c r="BH7" s="202">
        <v>0</v>
      </c>
      <c r="BI7" s="202">
        <v>0</v>
      </c>
      <c r="BJ7" s="202">
        <v>0</v>
      </c>
      <c r="BK7" s="202">
        <v>0</v>
      </c>
      <c r="BL7" s="202">
        <v>0</v>
      </c>
      <c r="BM7" s="202"/>
      <c r="BN7" s="202"/>
      <c r="BO7" s="202">
        <v>12</v>
      </c>
      <c r="BP7" s="202" t="s">
        <v>233</v>
      </c>
      <c r="BQ7" s="202"/>
      <c r="BR7" s="202"/>
      <c r="BS7" s="202"/>
      <c r="BT7" s="202"/>
      <c r="BU7" s="202"/>
      <c r="BV7" s="202"/>
      <c r="BW7" s="202" t="s">
        <v>233</v>
      </c>
      <c r="BX7" s="202">
        <v>1</v>
      </c>
      <c r="BY7" s="205"/>
    </row>
  </sheetData>
  <sheetProtection algorithmName="SHA-512" hashValue="AYBlRr0N/ne02A6ZbV3EUXQVm0GuAZZbu46dWxDG8OOPXhhbXqIBd/ax2tQ9NJEqA4kKAZGoa1ScEwWbN1Jf+w==" saltValue="V3Lef/mNPfQew2AqhsnKgQ==" spinCount="100000" sheet="1" objects="1" scenario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6220-06AD-6A4A-87A3-A33CD34CDDA8}">
  <sheetPr codeName="Sheet25">
    <tabColor theme="9" tint="0.39997558519241921"/>
  </sheetPr>
  <dimension ref="A1:AR60"/>
  <sheetViews>
    <sheetView zoomScaleNormal="100" zoomScalePageLayoutView="120" workbookViewId="0">
      <selection activeCell="A8" sqref="A8:A11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s="37" customFormat="1" ht="14" x14ac:dyDescent="0.15">
      <c r="A1" s="111" t="s">
        <v>149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</row>
    <row r="2" spans="1:44" s="37" customFormat="1" ht="14" x14ac:dyDescent="0.15">
      <c r="A2" s="113" t="s">
        <v>48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</row>
    <row r="3" spans="1:44" s="37" customFormat="1" ht="15" thickBot="1" x14ac:dyDescent="0.2">
      <c r="A3" s="111"/>
      <c r="B3" s="111"/>
      <c r="C3" s="111"/>
      <c r="D3" s="111"/>
      <c r="E3" s="111"/>
      <c r="F3" s="111"/>
      <c r="G3" s="114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</row>
    <row r="4" spans="1:44" ht="14" x14ac:dyDescent="0.15">
      <c r="A4" s="62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5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</row>
    <row r="5" spans="1:44" ht="14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7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</row>
    <row r="6" spans="1:44" ht="14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7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</row>
    <row r="7" spans="1:44" ht="75" x14ac:dyDescent="0.15">
      <c r="A7" s="251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1" t="s">
        <v>84</v>
      </c>
      <c r="G7" s="141" t="s">
        <v>85</v>
      </c>
      <c r="H7" s="141" t="s">
        <v>86</v>
      </c>
      <c r="I7" s="141" t="s">
        <v>87</v>
      </c>
      <c r="J7" s="252" t="s">
        <v>243</v>
      </c>
      <c r="K7" s="253" t="s">
        <v>61</v>
      </c>
      <c r="L7" s="142" t="s">
        <v>246</v>
      </c>
      <c r="M7" s="143" t="s">
        <v>62</v>
      </c>
      <c r="N7" s="143" t="s">
        <v>63</v>
      </c>
      <c r="O7" s="143" t="s">
        <v>64</v>
      </c>
      <c r="P7" s="143" t="s">
        <v>65</v>
      </c>
      <c r="Q7" s="254" t="s">
        <v>244</v>
      </c>
      <c r="R7" s="254" t="s">
        <v>245</v>
      </c>
      <c r="S7" s="255" t="s">
        <v>66</v>
      </c>
      <c r="T7" s="255" t="s">
        <v>67</v>
      </c>
      <c r="U7" s="144" t="s">
        <v>25</v>
      </c>
      <c r="V7" s="321" t="s">
        <v>26</v>
      </c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</row>
    <row r="8" spans="1:44" ht="14" x14ac:dyDescent="0.15">
      <c r="A8" s="182" t="str">
        <f>'TAS Oct 2022'!K2</f>
        <v>Aurora Energy</v>
      </c>
      <c r="B8" s="183" t="str">
        <f>'TAS Oct 2022'!L2</f>
        <v>Regulated</v>
      </c>
      <c r="C8" s="184">
        <f>IF('TAS Oct 2022'!BP2=0,91*'TAS Oct 2022'!M2/100,(91*'TAS Oct 2022'!M2/100)+'TAS Oct 2022'!BP2/4)</f>
        <v>84.45544545454544</v>
      </c>
      <c r="D8" s="184">
        <f>IF('TAS Oct 2022'!O2="",$C$5*'TAS Oct 2022'!N2/100,IF($C$5&gt;='TAS Oct 2022'!P2,('TAS Oct 2022'!P2*'TAS Oct 2022'!N2/100),($C$5*'TAS Oct 2022'!N2/100)))</f>
        <v>154.17272727272726</v>
      </c>
      <c r="E8" s="184">
        <f>IF(AND('TAS Oct 2022'!P2&gt;0,'TAS Oct 2022'!R2&gt;0),IF($C$5&lt;'TAS Oct 2022'!P2,0,IF($C$5&lt;=('TAS Oct 2022'!R2+'TAS Oct 2022'!P2),(($C$5-'TAS Oct 2022'!P2)*'TAS Oct 2022'!Q2/100),(('TAS Oct 2022'!R2)*'TAS Oct 2022'!Q2/100))),0)</f>
        <v>0</v>
      </c>
      <c r="F8" s="184">
        <f>IF(AND('TAS Oct 2022'!Q2&gt;0,'TAS Oct 2022'!S2&gt;0),IF($C$5&lt;('TAS Oct 2022'!R2+'TAS Oct 2022'!P2),0,IF($C$5&lt;=('TAS Oct 2022'!T2+'TAS Oct 2022'!R2+'TAS Oct 2022'!P2),(($C$5-('TAS Oct 2022'!R2+'TAS Oct 2022'!P2))*'TAS Oct 2022'!S2/100),('TAS Oct 2022'!T2*'TAS Oct 2022'!S2/100))),0)</f>
        <v>0</v>
      </c>
      <c r="G8" s="185">
        <v>0</v>
      </c>
      <c r="H8" s="184">
        <f>IF(AND('TAS Oct 2022'!R2&gt;0,'TAS Oct 2022'!T2&gt;0),IF(($C$5&lt;'TAS Oct 2022'!T2),(0),($C$5-'TAS Oct 2022'!T2)*'TAS Oct 2022'!U2/100),IF(AND('TAS Oct 2022'!R2&gt;0,'TAS Oct 2022'!T2=""),IF(($C$5&lt;'TAS Oct 2022'!R2+'TAS Oct 2022'!P2),(0),(($C$5-('TAS Oct 2022'!R2+'TAS Oct 2022'!P2))*'TAS Oct 2022'!S2/100)),IF(AND('TAS Oct 2022'!P2&gt;0,'TAS Oct 2022'!R2=""&gt;0),IF(($C$5&lt;'TAS Oct 2022'!P2),(0),($C$5-'TAS Oct 2022'!P2)*'TAS Oct 2022'!Q2/100),0)))</f>
        <v>1026.409090909091</v>
      </c>
      <c r="I8" s="187">
        <f>SUM(C8:H8)</f>
        <v>1265.0372636363636</v>
      </c>
      <c r="J8" s="187">
        <f>(I8-C8)*4</f>
        <v>4722.3272727272724</v>
      </c>
      <c r="K8" s="187">
        <f>I8*4</f>
        <v>5060.1490545454544</v>
      </c>
      <c r="L8" s="188">
        <f>K8*1.1</f>
        <v>5566.1639599999999</v>
      </c>
      <c r="M8" s="189">
        <f>'TAS Oct 2022'!BB2</f>
        <v>0</v>
      </c>
      <c r="N8" s="189">
        <f>'TAS Oct 2022'!BC2</f>
        <v>0</v>
      </c>
      <c r="O8" s="189">
        <f>'TAS Oct 2022'!BD2</f>
        <v>0</v>
      </c>
      <c r="P8" s="189">
        <f>'TAS Oct 2022'!BE2</f>
        <v>0</v>
      </c>
      <c r="Q8" s="189" t="str">
        <f>IF(SUM(M8:P8)=0,"No discount",IF(M8&gt;0,"Guaranteed off bill",IF(N8&gt;0,"Guaranteed off usage",IF(O8&gt;0,"Pay-on-time off bill","Pay-on-time off usage"))))</f>
        <v>No discount</v>
      </c>
      <c r="R8" s="189" t="str">
        <f t="shared" ref="R8:R11" si="0">IF(OR(A8="Origin Energy",A8="Red Energy",A8="Powershop"),"Inclusive","Exclusive")</f>
        <v>Exclusive</v>
      </c>
      <c r="S8" s="22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5060.1490545454544</v>
      </c>
      <c r="T8" s="22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5060.1490545454544</v>
      </c>
      <c r="U8" s="188">
        <f t="shared" ref="U8:V11" si="1">S8*1.1</f>
        <v>5566.1639599999999</v>
      </c>
      <c r="V8" s="322">
        <f t="shared" si="1"/>
        <v>5566.1639599999999</v>
      </c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</row>
    <row r="9" spans="1:44" ht="14" x14ac:dyDescent="0.15">
      <c r="A9" s="150" t="str">
        <f>'TAS Oct 2022'!K3</f>
        <v>1st Energy</v>
      </c>
      <c r="B9" s="159" t="str">
        <f>'TAS Oct 2022'!L3</f>
        <v>1st Saver</v>
      </c>
      <c r="C9" s="124">
        <f>IF('TAS Oct 2022'!BP3=0,91*'TAS Oct 2022'!M3/100,(91*'TAS Oct 2022'!M3/100)+'TAS Oct 2022'!BP3/4)</f>
        <v>83.537999999999997</v>
      </c>
      <c r="D9" s="124">
        <f>IF('TAS Oct 2022'!O3="",$C$5*'TAS Oct 2022'!N3/100,IF($C$5&gt;='TAS Oct 2022'!P3,('TAS Oct 2022'!P3*'TAS Oct 2022'!N3/100),($C$5*'TAS Oct 2022'!N3/100)))</f>
        <v>152.49999999999997</v>
      </c>
      <c r="E9" s="124">
        <f>IF(AND('TAS Oct 2022'!P3&gt;0,'TAS Oct 2022'!R3&gt;0),IF($C$5&lt;'TAS Oct 2022'!P3,0,IF($C$5&lt;=('TAS Oct 2022'!R3+'TAS Oct 2022'!P3),(($C$5-'TAS Oct 2022'!P3)*'TAS Oct 2022'!Q3/100),(('TAS Oct 2022'!R3)*'TAS Oct 2022'!Q3/100))),0)</f>
        <v>0</v>
      </c>
      <c r="F9" s="124">
        <f>IF(AND('TAS Oct 2022'!Q3&gt;0,'TAS Oct 2022'!S3&gt;0),IF($C$5&lt;('TAS Oct 2022'!R3+'TAS Oct 2022'!P3),0,IF($C$5&lt;=('TAS Oct 2022'!T3+'TAS Oct 2022'!R3+'TAS Oct 2022'!P3),(($C$5-('TAS Oct 2022'!R3+'TAS Oct 2022'!P3))*'TAS Oct 2022'!S3/100),('TAS Oct 2022'!T3*'TAS Oct 2022'!S3/100))),0)</f>
        <v>0</v>
      </c>
      <c r="G9" s="126">
        <v>0</v>
      </c>
      <c r="H9" s="124">
        <f>IF(AND('TAS Oct 2022'!R3&gt;0,'TAS Oct 2022'!T3&gt;0),IF(($C$5&lt;'TAS Oct 2022'!T3),(0),($C$5-'TAS Oct 2022'!T3)*'TAS Oct 2022'!U3/100),IF(AND('TAS Oct 2022'!R3&gt;0,'TAS Oct 2022'!T3=""),IF(($C$5&lt;'TAS Oct 2022'!R3+'TAS Oct 2022'!P3),(0),(($C$5-('TAS Oct 2022'!R3+'TAS Oct 2022'!P3))*'TAS Oct 2022'!S3/100)),IF(AND('TAS Oct 2022'!P3&gt;0,'TAS Oct 2022'!R3=""&gt;0),IF(($C$5&lt;'TAS Oct 2022'!P3),(0),($C$5-'TAS Oct 2022'!P3)*'TAS Oct 2022'!Q3/100),0)))</f>
        <v>1012.4999999999999</v>
      </c>
      <c r="I9" s="128">
        <f>SUM(C9:H9)</f>
        <v>1248.5379999999998</v>
      </c>
      <c r="J9" s="128">
        <f>(I9-C9)*4</f>
        <v>4659.9999999999991</v>
      </c>
      <c r="K9" s="128">
        <f>I9*4</f>
        <v>4994.1519999999991</v>
      </c>
      <c r="L9" s="129">
        <f>K9*1.1</f>
        <v>5493.5671999999995</v>
      </c>
      <c r="M9" s="123">
        <f>'TAS Oct 2022'!BB3</f>
        <v>0</v>
      </c>
      <c r="N9" s="123">
        <f>'TAS Oct 2022'!BC3</f>
        <v>5</v>
      </c>
      <c r="O9" s="123">
        <f>'TAS Oct 2022'!BD3</f>
        <v>0</v>
      </c>
      <c r="P9" s="123">
        <f>'TAS Oct 2022'!BE3</f>
        <v>0</v>
      </c>
      <c r="Q9" s="123" t="str">
        <f>IF(SUM(M9:P9)=0,"No discount",IF(M9&gt;0,"Guaranteed off bill",IF(N9&gt;0,"Guaranteed off usage",IF(O9&gt;0,"Pay-on-time off bill","Pay-on-time off usage"))))</f>
        <v>Guaranteed off usage</v>
      </c>
      <c r="R9" s="123" t="str">
        <f t="shared" si="0"/>
        <v>Exclusive</v>
      </c>
      <c r="S9" s="272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4761.1519999999991</v>
      </c>
      <c r="T9" s="273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4761.1519999999991</v>
      </c>
      <c r="U9" s="129">
        <f t="shared" si="1"/>
        <v>5237.2671999999993</v>
      </c>
      <c r="V9" s="323">
        <f t="shared" si="1"/>
        <v>5237.2671999999993</v>
      </c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</row>
    <row r="10" spans="1:44" ht="14" x14ac:dyDescent="0.15">
      <c r="A10" s="150" t="str">
        <f>'TAS Oct 2022'!K4</f>
        <v>CovaU</v>
      </c>
      <c r="B10" s="159" t="str">
        <f>'TAS Oct 2022'!L4</f>
        <v>Freedom</v>
      </c>
      <c r="C10" s="124">
        <f>IF('TAS Oct 2022'!BP4=0,91*'TAS Oct 2022'!M4/100,(91*'TAS Oct 2022'!M4/100)+'TAS Oct 2022'!BP4/4)</f>
        <v>92.82</v>
      </c>
      <c r="D10" s="124">
        <f>IF('TAS Oct 2022'!O4="",$C$5*'TAS Oct 2022'!N4/100,IF($C$5&gt;='TAS Oct 2022'!P4,('TAS Oct 2022'!P4*'TAS Oct 2022'!N4/100),($C$5*'TAS Oct 2022'!N4/100)))</f>
        <v>177.81818181818176</v>
      </c>
      <c r="E10" s="124">
        <f>IF(AND('TAS Oct 2022'!P4&gt;0,'TAS Oct 2022'!R4&gt;0),IF($C$5&lt;'TAS Oct 2022'!P4,0,IF($C$5&lt;=('TAS Oct 2022'!R4+'TAS Oct 2022'!P4),(($C$5-'TAS Oct 2022'!P4)*'TAS Oct 2022'!Q4/100),(('TAS Oct 2022'!R4)*'TAS Oct 2022'!Q4/100))),0)</f>
        <v>0</v>
      </c>
      <c r="F10" s="124">
        <f>IF(AND('TAS Oct 2022'!Q4&gt;0,'TAS Oct 2022'!S4&gt;0),IF($C$5&lt;('TAS Oct 2022'!R4+'TAS Oct 2022'!P4),0,IF($C$5&lt;=('TAS Oct 2022'!T4+'TAS Oct 2022'!R4+'TAS Oct 2022'!P4),(($C$5-('TAS Oct 2022'!R4+'TAS Oct 2022'!P4))*'TAS Oct 2022'!S4/100),('TAS Oct 2022'!T4*'TAS Oct 2022'!S4/100))),0)</f>
        <v>0</v>
      </c>
      <c r="G10" s="126">
        <v>0</v>
      </c>
      <c r="H10" s="124">
        <f>IF(AND('TAS Oct 2022'!R4&gt;0,'TAS Oct 2022'!T4&gt;0),IF(($C$5&lt;'TAS Oct 2022'!T4),(0),($C$5-'TAS Oct 2022'!T4)*'TAS Oct 2022'!U4/100),IF(AND('TAS Oct 2022'!R4&gt;0,'TAS Oct 2022'!T4=""),IF(($C$5&lt;'TAS Oct 2022'!R4+'TAS Oct 2022'!P4),(0),(($C$5-('TAS Oct 2022'!R4+'TAS Oct 2022'!P4))*'TAS Oct 2022'!S4/100)),IF(AND('TAS Oct 2022'!P4&gt;0,'TAS Oct 2022'!R4=""&gt;0),IF(($C$5&lt;'TAS Oct 2022'!P4),(0),($C$5-'TAS Oct 2022'!P4)*'TAS Oct 2022'!Q4/100),0)))</f>
        <v>1457.590909090909</v>
      </c>
      <c r="I10" s="128">
        <f t="shared" ref="I10:I11" si="2">SUM(C10:H10)</f>
        <v>1728.2290909090907</v>
      </c>
      <c r="J10" s="128">
        <f t="shared" ref="J10:J11" si="3">(I10-C10)*4</f>
        <v>6541.6363636363631</v>
      </c>
      <c r="K10" s="128">
        <f t="shared" ref="K10:K11" si="4">I10*4</f>
        <v>6912.9163636363628</v>
      </c>
      <c r="L10" s="129">
        <f t="shared" ref="L10:L11" si="5">K10*1.1</f>
        <v>7604.2079999999996</v>
      </c>
      <c r="M10" s="123">
        <f>'TAS Oct 2022'!BB4</f>
        <v>0</v>
      </c>
      <c r="N10" s="123">
        <f>'TAS Oct 2022'!BC4</f>
        <v>5</v>
      </c>
      <c r="O10" s="123">
        <f>'TAS Oct 2022'!BD4</f>
        <v>0</v>
      </c>
      <c r="P10" s="123">
        <f>'TAS Oct 2022'!BE4</f>
        <v>0</v>
      </c>
      <c r="Q10" s="123" t="str">
        <f t="shared" ref="Q10:Q11" si="6">IF(SUM(M10:P10)=0,"No discount",IF(M10&gt;0,"Guaranteed off bill",IF(N10&gt;0,"Guaranteed off usage",IF(O10&gt;0,"Pay-on-time off bill","Pay-on-time off usage"))))</f>
        <v>Guaranteed off usage</v>
      </c>
      <c r="R10" s="123" t="str">
        <f t="shared" si="0"/>
        <v>Exclusive</v>
      </c>
      <c r="S10" s="272">
        <f t="shared" ref="S10:S11" si="7"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6585.8345454545442</v>
      </c>
      <c r="T10" s="273">
        <f t="shared" ref="T10:T11" si="8"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6585.8345454545442</v>
      </c>
      <c r="U10" s="129">
        <f t="shared" si="1"/>
        <v>7244.4179999999997</v>
      </c>
      <c r="V10" s="323">
        <f t="shared" si="1"/>
        <v>7244.4179999999997</v>
      </c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</row>
    <row r="11" spans="1:44" ht="15" thickBot="1" x14ac:dyDescent="0.2">
      <c r="A11" s="153" t="str">
        <f>'TAS Oct 2022'!K5</f>
        <v>Energy Locals</v>
      </c>
      <c r="B11" s="160" t="str">
        <f>'TAS Oct 2022'!L5</f>
        <v>Business Member</v>
      </c>
      <c r="C11" s="133">
        <f>IF('TAS Oct 2022'!BP5=0,91*'TAS Oct 2022'!M5/100,(91*'TAS Oct 2022'!M5/100)+'TAS Oct 2022'!BP5/4)</f>
        <v>120.31363636363635</v>
      </c>
      <c r="D11" s="133">
        <f>IF('TAS Oct 2022'!O5="",$C$5*'TAS Oct 2022'!N5/100,IF($C$5&gt;='TAS Oct 2022'!P5,('TAS Oct 2022'!P5*'TAS Oct 2022'!N5/100),($C$5*'TAS Oct 2022'!N5/100)))</f>
        <v>120.45454545454544</v>
      </c>
      <c r="E11" s="133">
        <f>IF(AND('TAS Oct 2022'!P5&gt;0,'TAS Oct 2022'!R5&gt;0),IF($C$5&lt;'TAS Oct 2022'!P5,0,IF($C$5&lt;=('TAS Oct 2022'!R5+'TAS Oct 2022'!P5),(($C$5-'TAS Oct 2022'!P5)*'TAS Oct 2022'!Q5/100),(('TAS Oct 2022'!R5)*'TAS Oct 2022'!Q5/100))),0)</f>
        <v>0</v>
      </c>
      <c r="F11" s="133">
        <f>IF(AND('TAS Oct 2022'!Q5&gt;0,'TAS Oct 2022'!S5&gt;0),IF($C$5&lt;('TAS Oct 2022'!R5+'TAS Oct 2022'!P5),0,IF($C$5&lt;=('TAS Oct 2022'!T5+'TAS Oct 2022'!R5+'TAS Oct 2022'!P5),(($C$5-('TAS Oct 2022'!R5+'TAS Oct 2022'!P5))*'TAS Oct 2022'!S5/100),('TAS Oct 2022'!T5*'TAS Oct 2022'!S5/100))),0)</f>
        <v>0</v>
      </c>
      <c r="G11" s="135">
        <v>0</v>
      </c>
      <c r="H11" s="133">
        <f>IF(AND('TAS Oct 2022'!R5&gt;0,'TAS Oct 2022'!T5&gt;0),IF(($C$5&lt;'TAS Oct 2022'!T5),(0),($C$5-'TAS Oct 2022'!T5)*'TAS Oct 2022'!U5/100),IF(AND('TAS Oct 2022'!R5&gt;0,'TAS Oct 2022'!T5=""),IF(($C$5&lt;'TAS Oct 2022'!R5+'TAS Oct 2022'!P5),(0),(($C$5-('TAS Oct 2022'!R5+'TAS Oct 2022'!P5))*'TAS Oct 2022'!S5/100)),IF(AND('TAS Oct 2022'!P5&gt;0,'TAS Oct 2022'!R5=""&gt;0),IF(($C$5&lt;'TAS Oct 2022'!P5),(0),($C$5-'TAS Oct 2022'!P5)*'TAS Oct 2022'!Q5/100),0)))</f>
        <v>1084.090909090909</v>
      </c>
      <c r="I11" s="137">
        <f t="shared" si="2"/>
        <v>1324.8590909090908</v>
      </c>
      <c r="J11" s="137">
        <f t="shared" si="3"/>
        <v>4818.181818181818</v>
      </c>
      <c r="K11" s="137">
        <f t="shared" si="4"/>
        <v>5299.4363636363632</v>
      </c>
      <c r="L11" s="138">
        <f t="shared" si="5"/>
        <v>5829.38</v>
      </c>
      <c r="M11" s="132">
        <f>'TAS Oct 2022'!BB5</f>
        <v>0</v>
      </c>
      <c r="N11" s="132">
        <f>'TAS Oct 2022'!BC5</f>
        <v>0</v>
      </c>
      <c r="O11" s="132">
        <f>'TAS Oct 2022'!BD5</f>
        <v>0</v>
      </c>
      <c r="P11" s="132">
        <f>'TAS Oct 2022'!BE5</f>
        <v>0</v>
      </c>
      <c r="Q11" s="132" t="str">
        <f t="shared" si="6"/>
        <v>No discount</v>
      </c>
      <c r="R11" s="132" t="str">
        <f t="shared" si="0"/>
        <v>Exclusive</v>
      </c>
      <c r="S11" s="221">
        <f t="shared" si="7"/>
        <v>5299.4363636363632</v>
      </c>
      <c r="T11" s="222">
        <f t="shared" si="8"/>
        <v>5299.4363636363632</v>
      </c>
      <c r="U11" s="138">
        <f t="shared" si="1"/>
        <v>5829.38</v>
      </c>
      <c r="V11" s="324">
        <f t="shared" si="1"/>
        <v>5829.38</v>
      </c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</row>
    <row r="12" spans="1:44" ht="14" x14ac:dyDescent="0.1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315"/>
      <c r="U12" s="315"/>
      <c r="V12" s="315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</row>
    <row r="13" spans="1:44" ht="15" thickBot="1" x14ac:dyDescent="0.2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5"/>
      <c r="U13" s="115"/>
      <c r="V13" s="115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</row>
    <row r="14" spans="1:44" ht="14" x14ac:dyDescent="0.15">
      <c r="A14" s="62" t="s">
        <v>96</v>
      </c>
      <c r="B14" s="63"/>
      <c r="C14" s="63"/>
      <c r="D14" s="79"/>
      <c r="E14" s="79"/>
      <c r="F14" s="79"/>
      <c r="G14" s="79"/>
      <c r="H14" s="79"/>
      <c r="I14" s="80"/>
      <c r="J14" s="80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5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</row>
    <row r="15" spans="1:44" ht="14" x14ac:dyDescent="0.15">
      <c r="A15" s="66" t="s">
        <v>79</v>
      </c>
      <c r="B15" s="64"/>
      <c r="C15" s="85">
        <v>5000</v>
      </c>
      <c r="D15" s="81"/>
      <c r="E15" s="81"/>
      <c r="F15" s="81"/>
      <c r="G15" s="81"/>
      <c r="H15" s="81"/>
      <c r="I15" s="82"/>
      <c r="J15" s="82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7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</row>
    <row r="16" spans="1:44" ht="14" x14ac:dyDescent="0.15">
      <c r="A16" s="66" t="s">
        <v>97</v>
      </c>
      <c r="B16" s="64"/>
      <c r="C16" s="86">
        <v>0.7</v>
      </c>
      <c r="D16" s="81"/>
      <c r="E16" s="81"/>
      <c r="F16" s="81"/>
      <c r="G16" s="81"/>
      <c r="H16" s="81"/>
      <c r="I16" s="82"/>
      <c r="J16" s="8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7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</row>
    <row r="17" spans="1:44" ht="14" x14ac:dyDescent="0.15">
      <c r="A17" s="66" t="s">
        <v>148</v>
      </c>
      <c r="B17" s="64"/>
      <c r="C17" s="86">
        <v>0.3</v>
      </c>
      <c r="D17" s="81"/>
      <c r="E17" s="81"/>
      <c r="F17" s="81"/>
      <c r="G17" s="81"/>
      <c r="H17" s="81"/>
      <c r="I17" s="82"/>
      <c r="J17" s="82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7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</row>
    <row r="18" spans="1:44" ht="14" x14ac:dyDescent="0.15">
      <c r="A18" s="66"/>
      <c r="B18" s="64"/>
      <c r="C18" s="81"/>
      <c r="D18" s="81"/>
      <c r="E18" s="81"/>
      <c r="F18" s="81"/>
      <c r="G18" s="81"/>
      <c r="H18" s="81"/>
      <c r="I18" s="82"/>
      <c r="J18" s="82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7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</row>
    <row r="19" spans="1:44" ht="75" x14ac:dyDescent="0.15">
      <c r="A19" s="251" t="s">
        <v>73</v>
      </c>
      <c r="B19" s="147" t="s">
        <v>80</v>
      </c>
      <c r="C19" s="141" t="s">
        <v>81</v>
      </c>
      <c r="D19" s="141" t="s">
        <v>82</v>
      </c>
      <c r="E19" s="141" t="s">
        <v>83</v>
      </c>
      <c r="F19" s="141" t="s">
        <v>84</v>
      </c>
      <c r="G19" s="141" t="s">
        <v>86</v>
      </c>
      <c r="H19" s="141" t="s">
        <v>96</v>
      </c>
      <c r="I19" s="141" t="s">
        <v>87</v>
      </c>
      <c r="J19" s="252" t="s">
        <v>243</v>
      </c>
      <c r="K19" s="253" t="s">
        <v>61</v>
      </c>
      <c r="L19" s="142" t="s">
        <v>246</v>
      </c>
      <c r="M19" s="143" t="s">
        <v>62</v>
      </c>
      <c r="N19" s="143" t="s">
        <v>63</v>
      </c>
      <c r="O19" s="143" t="s">
        <v>64</v>
      </c>
      <c r="P19" s="143" t="s">
        <v>65</v>
      </c>
      <c r="Q19" s="254" t="s">
        <v>244</v>
      </c>
      <c r="R19" s="254" t="s">
        <v>245</v>
      </c>
      <c r="S19" s="255" t="s">
        <v>66</v>
      </c>
      <c r="T19" s="255" t="s">
        <v>67</v>
      </c>
      <c r="U19" s="144" t="s">
        <v>25</v>
      </c>
      <c r="V19" s="321" t="s">
        <v>26</v>
      </c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</row>
    <row r="20" spans="1:44" ht="14" x14ac:dyDescent="0.15">
      <c r="A20" s="182" t="str">
        <f>'TAS Oct 2022'!K6</f>
        <v>Aurora Energy</v>
      </c>
      <c r="B20" s="183" t="str">
        <f>'TAS Oct 2022'!L6</f>
        <v>Regulated</v>
      </c>
      <c r="C20" s="184">
        <f>IF('TAS Oct 2022'!BP6=0,91*'TAS Oct 2022'!M6/100,(91*'TAS Oct 2022'!M6/100)+'TAS Oct 2022'!BP6/4)</f>
        <v>99.594536363636365</v>
      </c>
      <c r="D20" s="184">
        <f>IF('TAS Oct 2022'!O6="",$C$15*$C$16*'TAS Oct 2022'!N6/100,IF($C$15*$C$16&gt;='TAS Oct 2022'!P6,('TAS Oct 2022'!P6*'TAS Oct 2022'!N6/100),($C$15*$C$16*'TAS Oct 2022'!N6/100)))</f>
        <v>154.17272727272726</v>
      </c>
      <c r="E20" s="184">
        <f>IF(AND('TAS Oct 2022'!P6&gt;0,'TAS Oct 2022'!R6&gt;0),IF($C$15*$C$16&lt;'TAS Oct 2022'!P6,0,IF($C$15*$C$16&lt;=('TAS Oct 2022'!R6+'TAS Oct 2022'!P6),(($C$15*$C$16-'TAS Oct 2022'!P6)*'TAS Oct 2022'!Q6/100),(('TAS Oct 2022'!R6)*'TAS Oct 2022'!Q6/100))),0)</f>
        <v>0</v>
      </c>
      <c r="F20" s="184">
        <f>IF(AND('TAS Oct 2022'!Q2&gt;0,'TAS Oct 2022'!S2&gt;0),IF($C$15*$C$16&lt;('TAS Oct 2022'!R2+'TAS Oct 2022'!P2),0,IF($C$15*$C$16&lt;=('TAS Oct 2022'!T2+'TAS Oct 2022'!R2+'TAS Oct 2022'!P2),(($C$15*$C$16-('TAS Oct 2022'!R2+'TAS Oct 2022'!P2))*'TAS Oct 2022'!S2/100),('TAS Oct 2022'!T2*'TAS Oct 2022'!S2/100))),0)</f>
        <v>0</v>
      </c>
      <c r="G20" s="184">
        <f>IF(AND('TAS Oct 2022'!R6&gt;0,'TAS Oct 2022'!T6&gt;0),IF(($C$15*$C$16&lt;'TAS Oct 2022'!T6),(0),($C$15*$C$16-'TAS Oct 2022'!T6)*'TAS Oct 2022'!U6/100),IF(AND('TAS Oct 2022'!R6&gt;0,'TAS Oct 2022'!T6=""),IF(($C$15*$C$16&lt;'TAS Oct 2022'!R6+'TAS Oct 2022'!P6),(0),(($C$15*$C$16-('TAS Oct 2022'!R6+'TAS Oct 2022'!P6))*'TAS Oct 2022'!S6/100)),IF(AND('TAS Oct 2022'!P6&gt;0,'TAS Oct 2022'!R6=""&gt;0),IF(($C$15*$C$16&lt;'TAS Oct 2022'!P6),(0),($C$15*$C$16-'TAS Oct 2022'!P6)*'TAS Oct 2022'!Q6/100),0)))</f>
        <v>684.27272727272725</v>
      </c>
      <c r="H20" s="186">
        <f>($C$15*$C$17)*'TAS Oct 2022'!AF6/100</f>
        <v>219.1363636363636</v>
      </c>
      <c r="I20" s="187">
        <f>SUM(C20:H20)</f>
        <v>1157.1763545454544</v>
      </c>
      <c r="J20" s="187">
        <f>(I20-C20)*4</f>
        <v>4230.3272727272724</v>
      </c>
      <c r="K20" s="187">
        <f>I20*4</f>
        <v>4628.7054181818175</v>
      </c>
      <c r="L20" s="188">
        <f>K20*1.1</f>
        <v>5091.5759600000001</v>
      </c>
      <c r="M20" s="189">
        <f>'TAS Oct 2022'!BB6</f>
        <v>0</v>
      </c>
      <c r="N20" s="189">
        <f>'TAS Oct 2022'!BC6</f>
        <v>0</v>
      </c>
      <c r="O20" s="189">
        <f>'TAS Oct 2022'!BD6</f>
        <v>0</v>
      </c>
      <c r="P20" s="189">
        <f>'TAS Oct 2022'!BE6</f>
        <v>0</v>
      </c>
      <c r="Q20" s="189" t="str">
        <f>IF(SUM(M20:P20)=0,"No discount",IF(M20&gt;0,"Guaranteed off bill",IF(N20&gt;0,"Guaranteed off usage",IF(O20&gt;0,"Pay-on-time off bill","Pay-on-time off usage"))))</f>
        <v>No discount</v>
      </c>
      <c r="R20" s="189" t="str">
        <f t="shared" ref="R20:R23" si="9">IF(OR(A20="Origin Energy",A20="Red Energy",A20="Powershop"),"Inclusive","Exclusive")</f>
        <v>Exclusive</v>
      </c>
      <c r="S20" s="220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4628.7054181818175</v>
      </c>
      <c r="T20" s="220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4628.7054181818175</v>
      </c>
      <c r="U20" s="188">
        <f t="shared" ref="U20:U23" si="10">IF(R20="Exclusive",S20*1.1,S20)</f>
        <v>5091.5759600000001</v>
      </c>
      <c r="V20" s="322">
        <f t="shared" ref="V20:V23" si="11">IF(R20="Exclusive",T20*1.1,T20)</f>
        <v>5091.5759600000001</v>
      </c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</row>
    <row r="21" spans="1:44" ht="14" x14ac:dyDescent="0.15">
      <c r="A21" s="150" t="str">
        <f>'TAS Oct 2022'!K7</f>
        <v>1st Energy</v>
      </c>
      <c r="B21" s="159" t="str">
        <f>'TAS Oct 2022'!L7</f>
        <v>1st Saver</v>
      </c>
      <c r="C21" s="124">
        <f>IF('TAS Oct 2022'!BP7=0,91*'TAS Oct 2022'!M7/100,(91*'TAS Oct 2022'!M7/100)+'TAS Oct 2022'!BP7/4)</f>
        <v>101.374</v>
      </c>
      <c r="D21" s="124">
        <f>IF('TAS Oct 2022'!O7="",$C$15*$C$16*'TAS Oct 2022'!N7/100,IF($C$15*$C$16&gt;='TAS Oct 2022'!P7,('TAS Oct 2022'!P7*'TAS Oct 2022'!N7/100),($C$15*$C$16*'TAS Oct 2022'!N7/100)))</f>
        <v>152.49999999999997</v>
      </c>
      <c r="E21" s="124">
        <f>IF(AND('TAS Oct 2022'!P7&gt;0,'TAS Oct 2022'!R7&gt;0),IF($C$15*$C$16&lt;'TAS Oct 2022'!P7,0,IF($C$15*$C$16&lt;=('TAS Oct 2022'!R7+'TAS Oct 2022'!P7),(($C$15*$C$16-'TAS Oct 2022'!P7)*'TAS Oct 2022'!Q7/100),(('TAS Oct 2022'!R7)*'TAS Oct 2022'!Q7/100))),0)</f>
        <v>0</v>
      </c>
      <c r="F21" s="124">
        <f>IF(AND('TAS Oct 2022'!Q3&gt;0,'TAS Oct 2022'!S3&gt;0),IF($C$15*$C$16&lt;('TAS Oct 2022'!R3+'TAS Oct 2022'!P3),0,IF($C$15*$C$16&lt;=('TAS Oct 2022'!T3+'TAS Oct 2022'!R3+'TAS Oct 2022'!P3),(($C$15*$C$16-('TAS Oct 2022'!R3+'TAS Oct 2022'!P3))*'TAS Oct 2022'!S3/100),('TAS Oct 2022'!T3*'TAS Oct 2022'!S3/100))),0)</f>
        <v>0</v>
      </c>
      <c r="G21" s="124">
        <f>IF(AND('TAS Oct 2022'!R7&gt;0,'TAS Oct 2022'!T7&gt;0),IF(($C$15*$C$16&lt;'TAS Oct 2022'!T7),(0),($C$15*$C$16-'TAS Oct 2022'!T7)*'TAS Oct 2022'!U7/100),IF(AND('TAS Oct 2022'!R7&gt;0,'TAS Oct 2022'!T7=""),IF(($C$15*$C$16&lt;'TAS Oct 2022'!R7+'TAS Oct 2022'!P7),(0),(($C$15*$C$16-('TAS Oct 2022'!R7+'TAS Oct 2022'!P7))*'TAS Oct 2022'!S7/100)),IF(AND('TAS Oct 2022'!P7&gt;0,'TAS Oct 2022'!R7=""&gt;0),IF(($C$15*$C$16&lt;'TAS Oct 2022'!P7),(0),($C$15*$C$16-'TAS Oct 2022'!P7)*'TAS Oct 2022'!Q7/100),0)))</f>
        <v>674.99999999999989</v>
      </c>
      <c r="H21" s="127">
        <f>($C$15*$C$17)*'TAS Oct 2022'!AF7/100</f>
        <v>183</v>
      </c>
      <c r="I21" s="128">
        <f>SUM(C21:H21)</f>
        <v>1111.8739999999998</v>
      </c>
      <c r="J21" s="128">
        <f>(I21-C21)*4</f>
        <v>4041.9999999999991</v>
      </c>
      <c r="K21" s="128">
        <f>I21*4</f>
        <v>4447.4959999999992</v>
      </c>
      <c r="L21" s="129">
        <f>K21*1.1</f>
        <v>4892.2455999999993</v>
      </c>
      <c r="M21" s="123">
        <f>'TAS Oct 2022'!BB7</f>
        <v>0</v>
      </c>
      <c r="N21" s="123">
        <f>'TAS Oct 2022'!BC7</f>
        <v>5</v>
      </c>
      <c r="O21" s="123">
        <f>'TAS Oct 2022'!BD7</f>
        <v>0</v>
      </c>
      <c r="P21" s="123">
        <f>'TAS Oct 2022'!BE7</f>
        <v>0</v>
      </c>
      <c r="Q21" s="123" t="str">
        <f>IF(SUM(M21:P21)=0,"No discount",IF(M21&gt;0,"Guaranteed off bill",IF(N21&gt;0,"Guaranteed off usage",IF(O21&gt;0,"Pay-on-time off bill","Pay-on-time off usage"))))</f>
        <v>Guaranteed off usage</v>
      </c>
      <c r="R21" s="123" t="str">
        <f t="shared" si="9"/>
        <v>Exclusive</v>
      </c>
      <c r="S21" s="272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4245.3959999999988</v>
      </c>
      <c r="T21" s="273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4245.3959999999988</v>
      </c>
      <c r="U21" s="129">
        <f t="shared" si="10"/>
        <v>4669.9355999999989</v>
      </c>
      <c r="V21" s="323">
        <f t="shared" si="11"/>
        <v>4669.9355999999989</v>
      </c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</row>
    <row r="22" spans="1:44" ht="14" x14ac:dyDescent="0.15">
      <c r="A22" s="150" t="str">
        <f>'TAS Oct 2022'!K8</f>
        <v>CovaU</v>
      </c>
      <c r="B22" s="159" t="str">
        <f>'TAS Oct 2022'!L8</f>
        <v>Freedom</v>
      </c>
      <c r="C22" s="124">
        <f>IF('TAS Oct 2022'!BP8=0,91*'TAS Oct 2022'!M8/100,(91*'TAS Oct 2022'!M8/100)+'TAS Oct 2022'!BP8/4)</f>
        <v>92.82</v>
      </c>
      <c r="D22" s="124">
        <f>IF('TAS Oct 2022'!O8="",$C$15*$C$16*'TAS Oct 2022'!N8/100,IF($C$15*$C$16&gt;='TAS Oct 2022'!P8,('TAS Oct 2022'!P8*'TAS Oct 2022'!N8/100),($C$15*$C$16*'TAS Oct 2022'!N8/100)))</f>
        <v>177.81818181818176</v>
      </c>
      <c r="E22" s="124">
        <f>IF(AND('TAS Oct 2022'!P8&gt;0,'TAS Oct 2022'!R8&gt;0),IF($C$15*$C$16&lt;'TAS Oct 2022'!P8,0,IF($C$15*$C$16&lt;=('TAS Oct 2022'!R8+'TAS Oct 2022'!P8),(($C$15*$C$16-'TAS Oct 2022'!P8)*'TAS Oct 2022'!Q8/100),(('TAS Oct 2022'!R8)*'TAS Oct 2022'!Q8/100))),0)</f>
        <v>0</v>
      </c>
      <c r="F22" s="124">
        <f>IF(AND('TAS Oct 2022'!Q4&gt;0,'TAS Oct 2022'!S4&gt;0),IF($C$15*$C$16&lt;('TAS Oct 2022'!R4+'TAS Oct 2022'!P4),0,IF($C$15*$C$16&lt;=('TAS Oct 2022'!T4+'TAS Oct 2022'!R4+'TAS Oct 2022'!P4),(($C$15*$C$16-('TAS Oct 2022'!R4+'TAS Oct 2022'!P4))*'TAS Oct 2022'!S4/100),('TAS Oct 2022'!T4*'TAS Oct 2022'!S4/100))),0)</f>
        <v>0</v>
      </c>
      <c r="G22" s="124">
        <f>IF(AND('TAS Oct 2022'!R8&gt;0,'TAS Oct 2022'!T8&gt;0),IF(($C$15*$C$16&lt;'TAS Oct 2022'!T8),(0),($C$15*$C$16-'TAS Oct 2022'!T8)*'TAS Oct 2022'!U8/100),IF(AND('TAS Oct 2022'!R8&gt;0,'TAS Oct 2022'!T8=""),IF(($C$15*$C$16&lt;'TAS Oct 2022'!R8+'TAS Oct 2022'!P8),(0),(($C$15*$C$16-('TAS Oct 2022'!R8+'TAS Oct 2022'!P8))*'TAS Oct 2022'!S8/100)),IF(AND('TAS Oct 2022'!P8&gt;0,'TAS Oct 2022'!R8=""&gt;0),IF(($C$15*$C$16&lt;'TAS Oct 2022'!P8),(0),($C$15*$C$16-'TAS Oct 2022'!P8)*'TAS Oct 2022'!Q8/100),0)))</f>
        <v>971.72727272727263</v>
      </c>
      <c r="H22" s="127">
        <f>($C$15*$C$17)*'TAS Oct 2022'!AF8/100</f>
        <v>420.81818181818176</v>
      </c>
      <c r="I22" s="128">
        <f>SUM(C22:H22)</f>
        <v>1663.1836363636362</v>
      </c>
      <c r="J22" s="128">
        <f>(I22-C22)*4</f>
        <v>6281.454545454545</v>
      </c>
      <c r="K22" s="128">
        <f>I22*4</f>
        <v>6652.7345454545448</v>
      </c>
      <c r="L22" s="129">
        <f>K22*1.1</f>
        <v>7318.0079999999998</v>
      </c>
      <c r="M22" s="123">
        <f>'TAS Oct 2022'!BB8</f>
        <v>0</v>
      </c>
      <c r="N22" s="123">
        <f>'TAS Oct 2022'!BC8</f>
        <v>5</v>
      </c>
      <c r="O22" s="123">
        <f>'TAS Oct 2022'!BD8</f>
        <v>0</v>
      </c>
      <c r="P22" s="123">
        <f>'TAS Oct 2022'!BE8</f>
        <v>0</v>
      </c>
      <c r="Q22" s="123" t="str">
        <f>IF(SUM(M22:P22)=0,"No discount",IF(M22&gt;0,"Guaranteed off bill",IF(N22&gt;0,"Guaranteed off usage",IF(O22&gt;0,"Pay-on-time off bill","Pay-on-time off usage"))))</f>
        <v>Guaranteed off usage</v>
      </c>
      <c r="R22" s="123" t="str">
        <f t="shared" si="9"/>
        <v>Exclusive</v>
      </c>
      <c r="S22" s="272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6338.6618181818176</v>
      </c>
      <c r="T22" s="273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6338.6618181818176</v>
      </c>
      <c r="U22" s="129">
        <f t="shared" si="10"/>
        <v>6972.5280000000002</v>
      </c>
      <c r="V22" s="323">
        <f t="shared" si="11"/>
        <v>6972.5280000000002</v>
      </c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</row>
    <row r="23" spans="1:44" ht="15" thickBot="1" x14ac:dyDescent="0.2">
      <c r="A23" s="153" t="str">
        <f>'TAS Oct 2022'!K9</f>
        <v>Energy Locals</v>
      </c>
      <c r="B23" s="160" t="str">
        <f>'TAS Oct 2022'!L9</f>
        <v>Business Member</v>
      </c>
      <c r="C23" s="133">
        <f>IF('TAS Oct 2022'!BP9=0,91*'TAS Oct 2022'!M9/100,(91*'TAS Oct 2022'!M9/100)+'TAS Oct 2022'!BP9/4)</f>
        <v>150.09545454545452</v>
      </c>
      <c r="D23" s="133">
        <f>IF('TAS Oct 2022'!O9="",$C$15*$C$16*'TAS Oct 2022'!N9/100,IF($C$15*$C$16&gt;='TAS Oct 2022'!P9,('TAS Oct 2022'!P9*'TAS Oct 2022'!N9/100),($C$15*$C$16*'TAS Oct 2022'!N9/100)))</f>
        <v>120.45454545454544</v>
      </c>
      <c r="E23" s="133">
        <f>IF(AND('TAS Oct 2022'!P9&gt;0,'TAS Oct 2022'!R9&gt;0),IF($C$15*$C$16&lt;'TAS Oct 2022'!P9,0,IF($C$15*$C$16&lt;=('TAS Oct 2022'!R9+'TAS Oct 2022'!P9),(($C$15*$C$16-'TAS Oct 2022'!P9)*'TAS Oct 2022'!Q9/100),(('TAS Oct 2022'!R9)*'TAS Oct 2022'!Q9/100))),0)</f>
        <v>0</v>
      </c>
      <c r="F23" s="133">
        <f>IF(AND('TAS Oct 2022'!Q4&gt;0,'TAS Oct 2022'!S4&gt;0),IF($C$15*$C$16&lt;('TAS Oct 2022'!R4+'TAS Oct 2022'!P4),0,IF($C$15*$C$16&lt;=('TAS Oct 2022'!T4+'TAS Oct 2022'!R4+'TAS Oct 2022'!P4),(($C$15*$C$16-('TAS Oct 2022'!R4+'TAS Oct 2022'!P4))*'TAS Oct 2022'!S4/100),('TAS Oct 2022'!T4*'TAS Oct 2022'!S4/100))),0)</f>
        <v>0</v>
      </c>
      <c r="G23" s="133">
        <f>IF(AND('TAS Oct 2022'!R9&gt;0,'TAS Oct 2022'!T9&gt;0),IF(($C$15*$C$16&lt;'TAS Oct 2022'!T9),(0),($C$15*$C$16-'TAS Oct 2022'!T9)*'TAS Oct 2022'!U9/100),IF(AND('TAS Oct 2022'!R9&gt;0,'TAS Oct 2022'!T9=""),IF(($C$15*$C$16&lt;'TAS Oct 2022'!R9+'TAS Oct 2022'!P9),(0),(($C$15*$C$16-('TAS Oct 2022'!R9+'TAS Oct 2022'!P9))*'TAS Oct 2022'!S9/100)),IF(AND('TAS Oct 2022'!P9&gt;0,'TAS Oct 2022'!R9=""&gt;0),IF(($C$15*$C$16&lt;'TAS Oct 2022'!P9),(0),($C$15*$C$16-'TAS Oct 2022'!P9)*'TAS Oct 2022'!Q9/100),0)))</f>
        <v>722.72727272727263</v>
      </c>
      <c r="H23" s="136">
        <f>($C$15*$C$17)*'TAS Oct 2022'!AF9/100</f>
        <v>252.27272727272725</v>
      </c>
      <c r="I23" s="137">
        <f>SUM(C23:H23)</f>
        <v>1245.5499999999997</v>
      </c>
      <c r="J23" s="137">
        <f>(I23-C23)*4</f>
        <v>4381.8181818181811</v>
      </c>
      <c r="K23" s="137">
        <f>I23*4</f>
        <v>4982.1999999999989</v>
      </c>
      <c r="L23" s="138">
        <f>K23*1.1</f>
        <v>5480.4199999999992</v>
      </c>
      <c r="M23" s="132">
        <f>'TAS Oct 2022'!BB9</f>
        <v>0</v>
      </c>
      <c r="N23" s="132">
        <f>'TAS Oct 2022'!BC9</f>
        <v>0</v>
      </c>
      <c r="O23" s="132">
        <f>'TAS Oct 2022'!BD9</f>
        <v>0</v>
      </c>
      <c r="P23" s="132">
        <f>'TAS Oct 2022'!BE9</f>
        <v>0</v>
      </c>
      <c r="Q23" s="132" t="str">
        <f>IF(SUM(M23:P23)=0,"No discount",IF(M23&gt;0,"Guaranteed off bill",IF(N23&gt;0,"Guaranteed off usage",IF(O23&gt;0,"Pay-on-time off bill","Pay-on-time off usage"))))</f>
        <v>No discount</v>
      </c>
      <c r="R23" s="132" t="str">
        <f t="shared" si="9"/>
        <v>Exclusive</v>
      </c>
      <c r="S23" s="221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4982.1999999999989</v>
      </c>
      <c r="T23" s="222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4982.1999999999989</v>
      </c>
      <c r="U23" s="138">
        <f t="shared" si="10"/>
        <v>5480.4199999999992</v>
      </c>
      <c r="V23" s="324">
        <f t="shared" si="11"/>
        <v>5480.4199999999992</v>
      </c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</row>
    <row r="24" spans="1:44" s="301" customFormat="1" ht="14" x14ac:dyDescent="0.15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315"/>
      <c r="U24" s="315"/>
      <c r="V24" s="315"/>
      <c r="W24" s="111"/>
      <c r="X24" s="111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</row>
    <row r="25" spans="1:44" ht="15" thickBot="1" x14ac:dyDescent="0.2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5"/>
      <c r="U25" s="115"/>
      <c r="V25" s="115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</row>
    <row r="26" spans="1:44" ht="14" x14ac:dyDescent="0.15">
      <c r="A26" s="62" t="s">
        <v>33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5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</row>
    <row r="27" spans="1:44" ht="14" x14ac:dyDescent="0.15">
      <c r="A27" s="66" t="s">
        <v>22</v>
      </c>
      <c r="B27" s="64"/>
      <c r="C27" s="85">
        <v>5000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7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</row>
    <row r="28" spans="1:44" ht="14" x14ac:dyDescent="0.15">
      <c r="A28" s="66" t="s">
        <v>23</v>
      </c>
      <c r="B28" s="64"/>
      <c r="C28" s="86">
        <v>0.3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7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</row>
    <row r="29" spans="1:44" ht="14" x14ac:dyDescent="0.15">
      <c r="A29" s="66" t="s">
        <v>24</v>
      </c>
      <c r="B29" s="64"/>
      <c r="C29" s="86">
        <v>0.4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7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</row>
    <row r="30" spans="1:44" ht="14" x14ac:dyDescent="0.15">
      <c r="A30" s="66" t="s">
        <v>21</v>
      </c>
      <c r="B30" s="64"/>
      <c r="C30" s="86">
        <v>0.3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7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</row>
    <row r="31" spans="1:44" ht="14" x14ac:dyDescent="0.15">
      <c r="A31" s="66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7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</row>
    <row r="32" spans="1:44" ht="75" x14ac:dyDescent="0.15">
      <c r="A32" s="251" t="s">
        <v>35</v>
      </c>
      <c r="B32" s="147" t="s">
        <v>36</v>
      </c>
      <c r="C32" s="141" t="s">
        <v>27</v>
      </c>
      <c r="D32" s="141" t="s">
        <v>153</v>
      </c>
      <c r="E32" s="141" t="s">
        <v>83</v>
      </c>
      <c r="F32" s="141" t="s">
        <v>154</v>
      </c>
      <c r="G32" s="141" t="s">
        <v>155</v>
      </c>
      <c r="H32" s="141" t="s">
        <v>156</v>
      </c>
      <c r="I32" s="141" t="s">
        <v>87</v>
      </c>
      <c r="J32" s="252" t="s">
        <v>243</v>
      </c>
      <c r="K32" s="253" t="s">
        <v>157</v>
      </c>
      <c r="L32" s="142" t="s">
        <v>246</v>
      </c>
      <c r="M32" s="143" t="s">
        <v>94</v>
      </c>
      <c r="N32" s="143" t="s">
        <v>123</v>
      </c>
      <c r="O32" s="143" t="s">
        <v>124</v>
      </c>
      <c r="P32" s="143" t="s">
        <v>125</v>
      </c>
      <c r="Q32" s="254" t="s">
        <v>244</v>
      </c>
      <c r="R32" s="254" t="s">
        <v>245</v>
      </c>
      <c r="S32" s="255" t="s">
        <v>66</v>
      </c>
      <c r="T32" s="255" t="s">
        <v>67</v>
      </c>
      <c r="U32" s="144" t="s">
        <v>25</v>
      </c>
      <c r="V32" s="321" t="s">
        <v>26</v>
      </c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</row>
    <row r="33" spans="1:44" ht="14" x14ac:dyDescent="0.15">
      <c r="A33" s="182" t="str">
        <f>'TAS Oct 2022'!K10</f>
        <v>Aurora Energy</v>
      </c>
      <c r="B33" s="183" t="str">
        <f>'TAS Oct 2022'!L10</f>
        <v>Regulated</v>
      </c>
      <c r="C33" s="184">
        <f>IF('TAS Oct 2022'!BP10=0,91*'TAS Oct 2022'!M10/100,(91*'TAS Oct 2022'!M10/100)+'TAS Oct 2022'!BP10/4)</f>
        <v>91.482299999999995</v>
      </c>
      <c r="D33" s="184">
        <f>IF('TAS Oct 2022'!O10="",$C$27*$C$28*'TAS Oct 2022'!N10/100,IF($C$27*$C$28&gt;='TAS Oct 2022'!P10,('TAS Oct 2022'!P10*'TAS Oct 2022'!N10/100),($C$27*$C$28*'TAS Oct 2022'!N10/100)))</f>
        <v>380.60454545454542</v>
      </c>
      <c r="E33" s="184">
        <f>IF(AND('TAS Oct 2022'!P10&gt;0,'TAS Oct 2022'!R10&gt;0),IF($C$27*$C$28&lt;'TAS Oct 2022'!P10,0,IF($C$27*$C$28&lt;=('TAS Oct 2022'!R10+'TAS Oct 2022'!P10),(($C$27*$C$28-'TAS Oct 2022'!P10)*'TAS Oct 2022'!Q10/100),(('TAS Oct 2022'!R10)*'TAS Oct 2022'!Q10/100))),0)</f>
        <v>0</v>
      </c>
      <c r="F33" s="184">
        <f>IF(AND('TAS Oct 2022'!R10&gt;0,'TAS Oct 2022'!T10&gt;0),IF(($C$27*$C$28&lt;'TAS Oct 2022'!T10),(0),($C$27*$C$246-'TAS Oct 2022'!T10)*'TAS Oct 2022'!U10/100),IF(AND('TAS Oct 2022'!R10&gt;0,'TAS Oct 2022'!T10=""),IF(($C$27*$C$28&lt;'TAS Oct 2022'!R10+'TAS Oct 2022'!P10),(0),(($C$27*$C$28-('TAS Oct 2022'!R10+'TAS Oct 2022'!P10))*'TAS Oct 2022'!S10/100)),IF(AND('TAS Oct 2022'!P10&gt;0,'TAS Oct 2022'!R10=""&gt;0),IF(($C$27*$C$28&lt;'TAS Oct 2022'!P10),(0),($C$27*$C$28-'TAS Oct 2022'!P10)*'TAS Oct 2022'!Q10/100),0)))</f>
        <v>0</v>
      </c>
      <c r="G33" s="185">
        <f>($C$27*$C$29)*'TAS Oct 2022'!AI10/100</f>
        <v>366.79999999999995</v>
      </c>
      <c r="H33" s="186">
        <f>($C$27*$C$30)*'TAS Oct 2022'!W10/100</f>
        <v>160.90909090909091</v>
      </c>
      <c r="I33" s="187">
        <f>SUM(C33:H33)</f>
        <v>999.79593636363632</v>
      </c>
      <c r="J33" s="187">
        <f>(I33-C33)*4</f>
        <v>3633.2545454545452</v>
      </c>
      <c r="K33" s="187">
        <f>I33*4</f>
        <v>3999.1837454545453</v>
      </c>
      <c r="L33" s="188">
        <f>K33*1.1</f>
        <v>4399.1021200000005</v>
      </c>
      <c r="M33" s="189">
        <f>'TAS Oct 2022'!BB10</f>
        <v>0</v>
      </c>
      <c r="N33" s="189">
        <f>'TAS Oct 2022'!BC10</f>
        <v>0</v>
      </c>
      <c r="O33" s="189">
        <f>'TAS Oct 2022'!BD10</f>
        <v>0</v>
      </c>
      <c r="P33" s="189">
        <f>'TAS Oct 2022'!BE10</f>
        <v>0</v>
      </c>
      <c r="Q33" s="189" t="str">
        <f>IF(SUM(M33:P33)=0,"No discount",IF(M33&gt;0,"Guaranteed off bill",IF(N33&gt;0,"Guaranteed off usage",IF(O33&gt;0,"Pay-on-time off bill","Pay-on-time off usage"))))</f>
        <v>No discount</v>
      </c>
      <c r="R33" s="189" t="str">
        <f t="shared" ref="R33:R35" si="12">IF(OR(A33="Origin Energy",A33="Red Energy",A33="Powershop"),"Inclusive","Exclusive")</f>
        <v>Exclusive</v>
      </c>
      <c r="S33" s="223">
        <f>IF(AND(Q33="Guaranteed off bill",R33="Inclusive"),((K33*1.1)-((K33*1.1)*M33/100))/1.1,IF(AND(Q33="Guaranteed off usage",R33="Inclusive"),((K33*1.1)-((J33*1.1)*N33/100))/1.1,IF(AND(Q33="Guaranteed off bill",R33="Exclusive"),K33-(K33*M33/100),IF(AND(Q33="Guaranteed off usage",R33="Exclusive"),K33-(J33*N33/100),IF(R33="Inclusive",((K33*1.1))/1.1,K33)))))</f>
        <v>3999.1837454545453</v>
      </c>
      <c r="T33" s="224">
        <f>IF(AND(Q33="Pay-on-time off bill",R33="Inclusive"),((S33*1.1)-((S33*1.1)*O33/100))/1.1,IF(AND(Q33="Pay-on-time off usage",R33="Inclusive"),((S33*1.1)-((J33*1.1)*P33/100))/1.1,IF(AND(Q33="Pay-on-time off bill",R33="Exclusive"),S33-(S33*O33/100),IF(AND(Q33="Pay-on-time off usage",R33="Exclusive"),S33-(J33*P33/100),IF(R33="Inclusive",((S33*1.1))/1.1,S33)))))</f>
        <v>3999.1837454545453</v>
      </c>
      <c r="U33" s="188">
        <f t="shared" ref="U33:U35" si="13">IF(R33="Exclusive",S33*1.1,S33)</f>
        <v>4399.1021200000005</v>
      </c>
      <c r="V33" s="322">
        <f t="shared" ref="V33:V35" si="14">IF(R33="Exclusive",T33*1.1,T33)</f>
        <v>4399.1021200000005</v>
      </c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</row>
    <row r="34" spans="1:44" ht="14" x14ac:dyDescent="0.15">
      <c r="A34" s="150" t="str">
        <f>'TAS Oct 2022'!K11</f>
        <v>1st Energy</v>
      </c>
      <c r="B34" s="159" t="str">
        <f>'TAS Oct 2022'!L11</f>
        <v>1st Saver</v>
      </c>
      <c r="C34" s="124">
        <f>IF('TAS Oct 2022'!BP11=0,91*'TAS Oct 2022'!M11/100,(91*'TAS Oct 2022'!M11/100)+'TAS Oct 2022'!BP11/4)</f>
        <v>90.545000000000002</v>
      </c>
      <c r="D34" s="124">
        <f>IF('TAS Oct 2022'!O11="",$C$27*$C$28*'TAS Oct 2022'!N11/100,IF($C$27*$C$28&gt;='TAS Oct 2022'!P11,('TAS Oct 2022'!P11*'TAS Oct 2022'!N11/100),($C$27*$C$28*'TAS Oct 2022'!N11/100)))</f>
        <v>376.5</v>
      </c>
      <c r="E34" s="124">
        <f>IF(AND('TAS Oct 2022'!P11&gt;0,'TAS Oct 2022'!R11&gt;0),IF($C$27*$C$28&lt;'TAS Oct 2022'!P11,0,IF($C$27*$C$28&lt;=('TAS Oct 2022'!R11+'TAS Oct 2022'!P11),(($C$27*$C$28-'TAS Oct 2022'!P11)*'TAS Oct 2022'!Q11/100),(('TAS Oct 2022'!R11)*'TAS Oct 2022'!Q11/100))),0)</f>
        <v>0</v>
      </c>
      <c r="F34" s="124">
        <f>IF(AND('TAS Oct 2022'!R11&gt;0,'TAS Oct 2022'!T11&gt;0),IF(($C$27*$C$28&lt;'TAS Oct 2022'!T11),(0),($C$27*$C$246-'TAS Oct 2022'!T11)*'TAS Oct 2022'!U11/100),IF(AND('TAS Oct 2022'!R11&gt;0,'TAS Oct 2022'!T11=""),IF(($C$27*$C$28&lt;'TAS Oct 2022'!R11+'TAS Oct 2022'!P11),(0),(($C$27*$C$28-('TAS Oct 2022'!R11+'TAS Oct 2022'!P11))*'TAS Oct 2022'!S11/100)),IF(AND('TAS Oct 2022'!P11&gt;0,'TAS Oct 2022'!R11=""&gt;0),IF(($C$27*$C$28&lt;'TAS Oct 2022'!P11),(0),($C$27*$C$28-'TAS Oct 2022'!P11)*'TAS Oct 2022'!Q11/100),0)))</f>
        <v>0</v>
      </c>
      <c r="G34" s="126">
        <f>($C$27*$C$29)*'TAS Oct 2022'!AI11/100</f>
        <v>361.99999999999994</v>
      </c>
      <c r="H34" s="127">
        <f>($C$27*$C$30)*'TAS Oct 2022'!W11/100</f>
        <v>159</v>
      </c>
      <c r="I34" s="128">
        <f>SUM(C34:H34)</f>
        <v>988.04499999999996</v>
      </c>
      <c r="J34" s="128">
        <f>(I34-C34)*4</f>
        <v>3590</v>
      </c>
      <c r="K34" s="128">
        <f>I34*4</f>
        <v>3952.18</v>
      </c>
      <c r="L34" s="129">
        <f>K34*1.1</f>
        <v>4347.3980000000001</v>
      </c>
      <c r="M34" s="123">
        <f>'TAS Oct 2022'!BB11</f>
        <v>0</v>
      </c>
      <c r="N34" s="123">
        <f>'TAS Oct 2022'!BC11</f>
        <v>5</v>
      </c>
      <c r="O34" s="123">
        <f>'TAS Oct 2022'!BD11</f>
        <v>0</v>
      </c>
      <c r="P34" s="123">
        <f>'TAS Oct 2022'!BE11</f>
        <v>0</v>
      </c>
      <c r="Q34" s="123" t="str">
        <f>IF(SUM(M34:P34)=0,"No discount",IF(M34&gt;0,"Guaranteed off bill",IF(N34&gt;0,"Guaranteed off usage",IF(O34&gt;0,"Pay-on-time off bill","Pay-on-time off usage"))))</f>
        <v>Guaranteed off usage</v>
      </c>
      <c r="R34" s="123" t="str">
        <f t="shared" si="12"/>
        <v>Exclusive</v>
      </c>
      <c r="S34" s="272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3772.68</v>
      </c>
      <c r="T34" s="273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3772.68</v>
      </c>
      <c r="U34" s="129">
        <f t="shared" si="13"/>
        <v>4149.9480000000003</v>
      </c>
      <c r="V34" s="323">
        <f t="shared" si="14"/>
        <v>4149.9480000000003</v>
      </c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</row>
    <row r="35" spans="1:44" ht="15" thickBot="1" x14ac:dyDescent="0.2">
      <c r="A35" s="153" t="str">
        <f>'TAS Oct 2022'!K12</f>
        <v>Energy Locals</v>
      </c>
      <c r="B35" s="160" t="str">
        <f>'TAS Oct 2022'!L12</f>
        <v>Business Member</v>
      </c>
      <c r="C35" s="133">
        <f>IF('TAS Oct 2022'!BP12=0,91*'TAS Oct 2022'!M12/100,(91*'TAS Oct 2022'!M12/100)+'TAS Oct 2022'!BP12/4)</f>
        <v>134.37727272727273</v>
      </c>
      <c r="D35" s="133">
        <f>IF('TAS Oct 2022'!O12="",$C$27*$C$28*'TAS Oct 2022'!N12/100,IF($C$27*$C$28&gt;='TAS Oct 2022'!P12,('TAS Oct 2022'!P12*'TAS Oct 2022'!N12/100),($C$27*$C$28*'TAS Oct 2022'!N12/100)))</f>
        <v>381.81818181818176</v>
      </c>
      <c r="E35" s="133">
        <f>IF(AND('TAS Oct 2022'!P12&gt;0,'TAS Oct 2022'!R12&gt;0),IF($C$27*$C$28&lt;'TAS Oct 2022'!P12,0,IF($C$27*$C$28&lt;=('TAS Oct 2022'!R12+'TAS Oct 2022'!P12),(($C$27*$C$28-'TAS Oct 2022'!P12)*'TAS Oct 2022'!Q12/100),(('TAS Oct 2022'!R12)*'TAS Oct 2022'!Q12/100))),0)</f>
        <v>0</v>
      </c>
      <c r="F35" s="133">
        <f>IF(AND('TAS Oct 2022'!R12&gt;0,'TAS Oct 2022'!T12&gt;0),IF(($C$27*$C$28&lt;'TAS Oct 2022'!T12),(0),($C$27*$C$246-'TAS Oct 2022'!T12)*'TAS Oct 2022'!U12/100),IF(AND('TAS Oct 2022'!R12&gt;0,'TAS Oct 2022'!T12=""),IF(($C$27*$C$28&lt;'TAS Oct 2022'!R12+'TAS Oct 2022'!P12),(0),(($C$27*$C$28-('TAS Oct 2022'!R12+'TAS Oct 2022'!P12))*'TAS Oct 2022'!S12/100)),IF(AND('TAS Oct 2022'!P12&gt;0,'TAS Oct 2022'!R12=""&gt;0),IF(($C$27*$C$28&lt;'TAS Oct 2022'!P12),(0),($C$27*$C$28-'TAS Oct 2022'!P12)*'TAS Oct 2022'!Q12/100),0)))</f>
        <v>0</v>
      </c>
      <c r="G35" s="135">
        <f>($C$27*$C$29)*'TAS Oct 2022'!AI12/100</f>
        <v>427.27272727272725</v>
      </c>
      <c r="H35" s="136">
        <f>($C$27*$C$30)*'TAS Oct 2022'!W12/100</f>
        <v>252.27272727272725</v>
      </c>
      <c r="I35" s="137">
        <f t="shared" ref="I35" si="15">SUM(C35:H35)</f>
        <v>1195.7409090909091</v>
      </c>
      <c r="J35" s="137">
        <f t="shared" ref="J35" si="16">(I35-C35)*4</f>
        <v>4245.454545454546</v>
      </c>
      <c r="K35" s="137">
        <f t="shared" ref="K35" si="17">I35*4</f>
        <v>4782.9636363636364</v>
      </c>
      <c r="L35" s="138">
        <f t="shared" ref="L35" si="18">K35*1.1</f>
        <v>5261.26</v>
      </c>
      <c r="M35" s="132">
        <f>'TAS Oct 2022'!BB12</f>
        <v>0</v>
      </c>
      <c r="N35" s="132">
        <f>'TAS Oct 2022'!BC12</f>
        <v>0</v>
      </c>
      <c r="O35" s="132">
        <f>'TAS Oct 2022'!BD12</f>
        <v>0</v>
      </c>
      <c r="P35" s="132">
        <f>'TAS Oct 2022'!BE12</f>
        <v>0</v>
      </c>
      <c r="Q35" s="132" t="str">
        <f t="shared" ref="Q35" si="19">IF(SUM(M35:P35)=0,"No discount",IF(M35&gt;0,"Guaranteed off bill",IF(N35&gt;0,"Guaranteed off usage",IF(O35&gt;0,"Pay-on-time off bill","Pay-on-time off usage"))))</f>
        <v>No discount</v>
      </c>
      <c r="R35" s="132" t="str">
        <f t="shared" si="12"/>
        <v>Exclusive</v>
      </c>
      <c r="S35" s="221">
        <f t="shared" ref="S35" si="20"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4782.9636363636364</v>
      </c>
      <c r="T35" s="222">
        <f t="shared" ref="T35" si="21"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4782.9636363636364</v>
      </c>
      <c r="U35" s="138">
        <f t="shared" si="13"/>
        <v>5261.26</v>
      </c>
      <c r="V35" s="324">
        <f t="shared" si="14"/>
        <v>5261.26</v>
      </c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</row>
    <row r="36" spans="1:44" ht="14" x14ac:dyDescent="0.1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315"/>
      <c r="U36" s="315"/>
      <c r="V36" s="315"/>
      <c r="W36" s="315"/>
      <c r="X36" s="315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</row>
    <row r="37" spans="1:44" ht="14" x14ac:dyDescent="0.1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5"/>
      <c r="U37" s="115"/>
      <c r="V37" s="115"/>
      <c r="W37" s="115"/>
      <c r="X37" s="115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</row>
    <row r="38" spans="1:44" ht="14" x14ac:dyDescent="0.15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315"/>
      <c r="U38" s="315"/>
      <c r="V38" s="315"/>
      <c r="W38" s="315"/>
      <c r="X38" s="315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</row>
    <row r="39" spans="1:44" ht="14" x14ac:dyDescent="0.1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5"/>
      <c r="U39" s="115"/>
      <c r="V39" s="115"/>
      <c r="W39" s="115"/>
      <c r="X39" s="115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</row>
    <row r="40" spans="1:44" ht="14" x14ac:dyDescent="0.1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315"/>
      <c r="U40" s="315"/>
      <c r="V40" s="315"/>
      <c r="W40" s="315"/>
      <c r="X40" s="315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</row>
    <row r="41" spans="1:44" ht="14" x14ac:dyDescent="0.1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5"/>
      <c r="U41" s="115"/>
      <c r="V41" s="115"/>
      <c r="W41" s="115"/>
      <c r="X41" s="115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</row>
    <row r="42" spans="1:44" ht="14" x14ac:dyDescent="0.1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315"/>
      <c r="U42" s="315"/>
      <c r="V42" s="315"/>
      <c r="W42" s="315"/>
      <c r="X42" s="315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</row>
    <row r="43" spans="1:44" ht="14" x14ac:dyDescent="0.1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5"/>
      <c r="U43" s="115"/>
      <c r="V43" s="115"/>
      <c r="W43" s="115"/>
      <c r="X43" s="115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</row>
    <row r="44" spans="1:44" ht="14" x14ac:dyDescent="0.1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315"/>
      <c r="U44" s="315"/>
      <c r="V44" s="315"/>
      <c r="W44" s="315"/>
      <c r="X44" s="315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</row>
    <row r="45" spans="1:44" ht="14" x14ac:dyDescent="0.1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5"/>
      <c r="U45" s="115"/>
      <c r="V45" s="115"/>
      <c r="W45" s="115"/>
      <c r="X45" s="115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</row>
    <row r="46" spans="1:44" ht="14" x14ac:dyDescent="0.15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315"/>
      <c r="U46" s="315"/>
      <c r="V46" s="315"/>
      <c r="W46" s="315"/>
      <c r="X46" s="315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</row>
    <row r="47" spans="1:44" ht="14" x14ac:dyDescent="0.1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5"/>
      <c r="U47" s="115"/>
      <c r="V47" s="115"/>
      <c r="W47" s="115"/>
      <c r="X47" s="115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</row>
    <row r="48" spans="1:44" ht="14" x14ac:dyDescent="0.1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315"/>
      <c r="U48" s="315"/>
      <c r="V48" s="315"/>
      <c r="W48" s="315"/>
      <c r="X48" s="315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</row>
    <row r="49" spans="1:44" ht="14" x14ac:dyDescent="0.15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5"/>
      <c r="U49" s="115"/>
      <c r="V49" s="115"/>
      <c r="W49" s="115"/>
      <c r="X49" s="115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</row>
    <row r="50" spans="1:44" ht="14" x14ac:dyDescent="0.15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315"/>
      <c r="U50" s="315"/>
      <c r="V50" s="315"/>
      <c r="W50" s="315"/>
      <c r="X50" s="315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</row>
    <row r="51" spans="1:44" ht="14" x14ac:dyDescent="0.15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5"/>
      <c r="U51" s="115"/>
      <c r="V51" s="115"/>
      <c r="W51" s="115"/>
      <c r="X51" s="115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</row>
    <row r="52" spans="1:44" ht="14" x14ac:dyDescent="0.1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315"/>
      <c r="U52" s="315"/>
      <c r="V52" s="315"/>
      <c r="W52" s="315"/>
      <c r="X52" s="315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</row>
    <row r="53" spans="1:44" ht="14" x14ac:dyDescent="0.15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5"/>
      <c r="U53" s="115"/>
      <c r="V53" s="115"/>
      <c r="W53" s="115"/>
      <c r="X53" s="115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</row>
    <row r="54" spans="1:44" ht="14" x14ac:dyDescent="0.15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315"/>
      <c r="U54" s="315"/>
      <c r="V54" s="315"/>
      <c r="W54" s="315"/>
      <c r="X54" s="315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</row>
    <row r="55" spans="1:44" ht="14" x14ac:dyDescent="0.15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5"/>
      <c r="U55" s="115"/>
      <c r="V55" s="115"/>
      <c r="W55" s="115"/>
      <c r="X55" s="115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</row>
    <row r="56" spans="1:44" ht="14" x14ac:dyDescent="0.15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315"/>
      <c r="U56" s="315"/>
      <c r="V56" s="315"/>
      <c r="W56" s="315"/>
      <c r="X56" s="315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</row>
    <row r="57" spans="1:44" ht="14" x14ac:dyDescent="0.15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5"/>
      <c r="U57" s="115"/>
      <c r="V57" s="115"/>
      <c r="W57" s="115"/>
      <c r="X57" s="115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</row>
    <row r="58" spans="1:44" ht="14" x14ac:dyDescent="0.15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315"/>
      <c r="U58" s="315"/>
      <c r="V58" s="315"/>
      <c r="W58" s="315"/>
      <c r="X58" s="315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</row>
    <row r="59" spans="1:44" ht="14" x14ac:dyDescent="0.15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5"/>
      <c r="U59" s="115"/>
      <c r="V59" s="115"/>
      <c r="W59" s="115"/>
      <c r="X59" s="115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</row>
    <row r="60" spans="1:44" ht="14" x14ac:dyDescent="0.15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315"/>
      <c r="U60" s="315"/>
      <c r="V60" s="315"/>
      <c r="W60" s="315"/>
      <c r="X60" s="315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</row>
  </sheetData>
  <sheetProtection algorithmName="SHA-512" hashValue="/5UJws/YTQHz/vLTOqh4sOo3RAuGapYHkZKt+CEnk28T5VEh7zygnpETqws9nX5q4FJgcGHb4WSmBXV9VzB5gA==" saltValue="mdH+/zeYNX8X19B+okXkcg==" spinCount="100000" sheet="1" objects="1" scenarios="1"/>
  <pageMargins left="0.75" right="0.75" top="1" bottom="1" header="0.5" footer="0.5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23D0-91D4-5E46-81A4-1DD8B667A866}">
  <sheetPr codeName="Sheet10"/>
  <dimension ref="A1:BW7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4" width="11.33203125" customWidth="1"/>
    <col min="75" max="75" width="29.5" customWidth="1"/>
  </cols>
  <sheetData>
    <row r="1" spans="1:75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111</v>
      </c>
      <c r="AO1" s="18" t="s">
        <v>112</v>
      </c>
      <c r="AP1" s="18" t="s">
        <v>113</v>
      </c>
      <c r="AQ1" s="19" t="s">
        <v>114</v>
      </c>
      <c r="AR1" s="20" t="s">
        <v>115</v>
      </c>
      <c r="AS1" s="20" t="s">
        <v>88</v>
      </c>
      <c r="AT1" s="21" t="s">
        <v>89</v>
      </c>
      <c r="AU1" s="22" t="s">
        <v>90</v>
      </c>
      <c r="AV1" s="23" t="s">
        <v>91</v>
      </c>
      <c r="AW1" s="22"/>
      <c r="AX1" s="22"/>
      <c r="AY1" s="22"/>
      <c r="AZ1" s="24" t="s">
        <v>92</v>
      </c>
      <c r="BA1" s="25" t="s">
        <v>93</v>
      </c>
      <c r="BB1" s="26" t="s">
        <v>94</v>
      </c>
      <c r="BC1" s="27" t="s">
        <v>123</v>
      </c>
      <c r="BD1" s="28" t="s">
        <v>124</v>
      </c>
      <c r="BE1" s="27" t="s">
        <v>125</v>
      </c>
      <c r="BF1" s="28" t="s">
        <v>135</v>
      </c>
      <c r="BG1" s="29" t="s">
        <v>136</v>
      </c>
      <c r="BH1" s="26" t="s">
        <v>137</v>
      </c>
      <c r="BI1" s="30" t="s">
        <v>138</v>
      </c>
      <c r="BJ1" s="26" t="s">
        <v>139</v>
      </c>
      <c r="BK1" s="30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8" t="s">
        <v>59</v>
      </c>
      <c r="BQ1" s="8"/>
      <c r="BR1" s="8"/>
      <c r="BS1" s="31" t="s">
        <v>12</v>
      </c>
      <c r="BT1" s="31" t="s">
        <v>60</v>
      </c>
      <c r="BU1" s="32" t="s">
        <v>53</v>
      </c>
      <c r="BV1" s="32" t="s">
        <v>8</v>
      </c>
      <c r="BW1" s="31" t="s">
        <v>11</v>
      </c>
    </row>
    <row r="2" spans="1:75" x14ac:dyDescent="0.15">
      <c r="A2" s="54">
        <v>1930</v>
      </c>
      <c r="B2" s="36">
        <v>42299</v>
      </c>
      <c r="C2" s="1" t="s">
        <v>219</v>
      </c>
      <c r="D2" s="179" t="s">
        <v>203</v>
      </c>
      <c r="E2" s="2"/>
      <c r="F2" s="2" t="s">
        <v>220</v>
      </c>
      <c r="G2" s="3">
        <v>42185</v>
      </c>
      <c r="H2" s="4" t="s">
        <v>221</v>
      </c>
      <c r="I2" s="4" t="s">
        <v>222</v>
      </c>
      <c r="J2" s="4"/>
      <c r="K2" s="55" t="s">
        <v>223</v>
      </c>
      <c r="L2" s="2" t="s">
        <v>224</v>
      </c>
      <c r="M2" s="198">
        <v>94.518181818181816</v>
      </c>
      <c r="N2" s="198">
        <v>31.399999999999995</v>
      </c>
      <c r="O2" s="2" t="s">
        <v>225</v>
      </c>
      <c r="P2" s="2">
        <v>500</v>
      </c>
      <c r="Q2" s="198">
        <v>23.227272727272727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5"/>
      <c r="AN2" s="55"/>
      <c r="AO2" s="55"/>
      <c r="AP2" s="55"/>
      <c r="AQ2" s="55" t="s">
        <v>226</v>
      </c>
      <c r="AR2" s="56" t="s">
        <v>222</v>
      </c>
      <c r="AT2" s="56"/>
      <c r="AU2" s="4" t="s">
        <v>227</v>
      </c>
      <c r="AV2" s="4">
        <v>9.3469999999999995</v>
      </c>
      <c r="AW2" s="4"/>
      <c r="AX2" s="4"/>
      <c r="AY2" s="4"/>
      <c r="AZ2" s="56" t="s">
        <v>228</v>
      </c>
      <c r="BA2" s="55"/>
      <c r="BB2" s="56">
        <v>0</v>
      </c>
      <c r="BC2" s="56">
        <v>0</v>
      </c>
      <c r="BD2" s="4">
        <v>0</v>
      </c>
      <c r="BE2" s="56">
        <v>0</v>
      </c>
      <c r="BF2" s="56">
        <v>0</v>
      </c>
      <c r="BG2" s="56">
        <v>0</v>
      </c>
      <c r="BH2" s="56">
        <v>0</v>
      </c>
      <c r="BI2" s="56">
        <v>0</v>
      </c>
      <c r="BJ2" s="4">
        <v>0</v>
      </c>
      <c r="BK2" s="4">
        <v>0</v>
      </c>
      <c r="BL2" s="56"/>
      <c r="BM2" s="56" t="s">
        <v>222</v>
      </c>
      <c r="BN2" s="4"/>
      <c r="BO2" s="4" t="s">
        <v>221</v>
      </c>
      <c r="BP2" s="4"/>
      <c r="BQ2" s="4"/>
      <c r="BR2" s="4"/>
      <c r="BS2" s="2" t="s">
        <v>229</v>
      </c>
      <c r="BT2" s="57" t="s">
        <v>173</v>
      </c>
      <c r="BU2" s="4">
        <v>20</v>
      </c>
      <c r="BV2" s="56" t="s">
        <v>222</v>
      </c>
      <c r="BW2" s="55"/>
    </row>
    <row r="3" spans="1:75" x14ac:dyDescent="0.15">
      <c r="A3" s="54">
        <v>4941</v>
      </c>
      <c r="B3" s="36">
        <v>42299</v>
      </c>
      <c r="C3" s="1" t="s">
        <v>219</v>
      </c>
      <c r="D3" s="179" t="s">
        <v>203</v>
      </c>
      <c r="E3" s="2"/>
      <c r="F3" s="2" t="s">
        <v>220</v>
      </c>
      <c r="G3" s="3">
        <v>42179</v>
      </c>
      <c r="H3" s="4" t="s">
        <v>221</v>
      </c>
      <c r="I3" s="4" t="s">
        <v>222</v>
      </c>
      <c r="J3" s="4"/>
      <c r="K3" s="2" t="s">
        <v>207</v>
      </c>
      <c r="L3" s="2" t="s">
        <v>208</v>
      </c>
      <c r="M3" s="198">
        <v>94.509090909090901</v>
      </c>
      <c r="N3" s="198">
        <v>31.399999999999995</v>
      </c>
      <c r="O3" s="2" t="s">
        <v>225</v>
      </c>
      <c r="P3" s="2">
        <v>500</v>
      </c>
      <c r="Q3" s="198">
        <v>23.218181818181815</v>
      </c>
      <c r="R3" s="2"/>
      <c r="S3" s="2"/>
      <c r="T3" s="18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5"/>
      <c r="AN3" s="55"/>
      <c r="AO3" s="55"/>
      <c r="AP3" s="55"/>
      <c r="AQ3" s="55" t="s">
        <v>226</v>
      </c>
      <c r="AR3" s="56" t="s">
        <v>222</v>
      </c>
      <c r="AS3" s="56"/>
      <c r="AT3" s="56"/>
      <c r="AU3" s="4" t="s">
        <v>227</v>
      </c>
      <c r="AV3" s="4">
        <v>9.3469999999999995</v>
      </c>
      <c r="AW3" s="4"/>
      <c r="AX3" s="4"/>
      <c r="AY3" s="4"/>
      <c r="AZ3" s="56" t="s">
        <v>228</v>
      </c>
      <c r="BA3" s="55"/>
      <c r="BB3" s="56">
        <v>0</v>
      </c>
      <c r="BC3" s="56">
        <v>0</v>
      </c>
      <c r="BD3" s="4">
        <v>0</v>
      </c>
      <c r="BE3" s="56">
        <v>5</v>
      </c>
      <c r="BF3" s="56">
        <v>0</v>
      </c>
      <c r="BG3" s="56">
        <v>0</v>
      </c>
      <c r="BH3" s="56">
        <v>0</v>
      </c>
      <c r="BI3" s="56">
        <v>0</v>
      </c>
      <c r="BJ3" s="4">
        <v>0</v>
      </c>
      <c r="BK3" s="4">
        <v>0</v>
      </c>
      <c r="BL3" s="56"/>
      <c r="BM3" s="56"/>
      <c r="BN3" s="4"/>
      <c r="BO3" s="4" t="s">
        <v>222</v>
      </c>
      <c r="BP3" s="4"/>
      <c r="BQ3" s="4"/>
      <c r="BR3" s="4"/>
      <c r="BS3" s="4"/>
      <c r="BT3" s="4"/>
      <c r="BU3" s="4"/>
      <c r="BV3" s="56" t="s">
        <v>222</v>
      </c>
      <c r="BW3" s="181" t="s">
        <v>213</v>
      </c>
    </row>
    <row r="4" spans="1:75" x14ac:dyDescent="0.15">
      <c r="A4" s="54">
        <v>1928</v>
      </c>
      <c r="B4" s="36">
        <v>42299</v>
      </c>
      <c r="C4" s="1" t="s">
        <v>186</v>
      </c>
      <c r="D4" s="179" t="s">
        <v>203</v>
      </c>
      <c r="E4" s="2"/>
      <c r="F4" s="2" t="s">
        <v>195</v>
      </c>
      <c r="G4" s="3">
        <v>42185</v>
      </c>
      <c r="H4" s="4" t="s">
        <v>188</v>
      </c>
      <c r="I4" s="4" t="s">
        <v>189</v>
      </c>
      <c r="J4" s="4"/>
      <c r="K4" s="55" t="s">
        <v>190</v>
      </c>
      <c r="L4" s="2" t="s">
        <v>191</v>
      </c>
      <c r="M4" s="2">
        <v>111.46</v>
      </c>
      <c r="N4" s="198">
        <v>31.399999999999995</v>
      </c>
      <c r="O4" s="2" t="s">
        <v>130</v>
      </c>
      <c r="P4" s="2">
        <v>500</v>
      </c>
      <c r="Q4" s="2">
        <v>23.23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14.87</v>
      </c>
      <c r="AG4" s="2"/>
      <c r="AH4" s="2"/>
      <c r="AI4" s="2"/>
      <c r="AJ4" s="2"/>
      <c r="AK4" s="2"/>
      <c r="AL4" s="2"/>
      <c r="AM4" s="55"/>
      <c r="AN4" s="55"/>
      <c r="AO4" s="55"/>
      <c r="AP4" s="55"/>
      <c r="AQ4" s="55" t="s">
        <v>196</v>
      </c>
      <c r="AR4" s="56" t="s">
        <v>189</v>
      </c>
      <c r="AT4" s="56"/>
      <c r="AU4" s="4" t="s">
        <v>193</v>
      </c>
      <c r="AV4" s="4">
        <v>9.3469999999999995</v>
      </c>
      <c r="AW4" s="4"/>
      <c r="AX4" s="4"/>
      <c r="AY4" s="4"/>
      <c r="AZ4" s="56" t="s">
        <v>194</v>
      </c>
      <c r="BA4" s="55"/>
      <c r="BB4" s="56">
        <v>0</v>
      </c>
      <c r="BC4" s="56">
        <v>0</v>
      </c>
      <c r="BD4" s="4">
        <v>0</v>
      </c>
      <c r="BE4" s="56">
        <v>0</v>
      </c>
      <c r="BF4" s="56">
        <v>0</v>
      </c>
      <c r="BG4" s="56">
        <v>0</v>
      </c>
      <c r="BH4" s="56">
        <v>0</v>
      </c>
      <c r="BI4" s="56">
        <v>0</v>
      </c>
      <c r="BJ4" s="4">
        <v>0</v>
      </c>
      <c r="BK4" s="4">
        <v>0</v>
      </c>
      <c r="BL4" s="56"/>
      <c r="BM4" s="56" t="s">
        <v>189</v>
      </c>
      <c r="BN4" s="4"/>
      <c r="BO4" s="4" t="s">
        <v>188</v>
      </c>
      <c r="BP4" s="4"/>
      <c r="BQ4" s="4"/>
      <c r="BR4" s="4"/>
      <c r="BS4" s="199" t="s">
        <v>229</v>
      </c>
      <c r="BT4" s="57" t="s">
        <v>173</v>
      </c>
      <c r="BU4" s="202">
        <v>20</v>
      </c>
      <c r="BV4" s="56" t="s">
        <v>189</v>
      </c>
      <c r="BW4" s="55"/>
    </row>
    <row r="5" spans="1:75" ht="13" customHeight="1" x14ac:dyDescent="0.15">
      <c r="A5" s="54">
        <v>4939</v>
      </c>
      <c r="B5" s="36">
        <v>42299</v>
      </c>
      <c r="C5" s="201" t="s">
        <v>230</v>
      </c>
      <c r="D5" s="199" t="s">
        <v>203</v>
      </c>
      <c r="E5" s="199"/>
      <c r="F5" s="199" t="s">
        <v>240</v>
      </c>
      <c r="G5" s="200">
        <v>42179</v>
      </c>
      <c r="H5" s="202" t="s">
        <v>221</v>
      </c>
      <c r="I5" s="202" t="s">
        <v>222</v>
      </c>
      <c r="J5" s="202"/>
      <c r="K5" s="199" t="s">
        <v>207</v>
      </c>
      <c r="L5" s="199" t="s">
        <v>208</v>
      </c>
      <c r="M5" s="203">
        <v>111.44545454545454</v>
      </c>
      <c r="N5" s="203">
        <v>31.399999999999995</v>
      </c>
      <c r="O5" s="199" t="s">
        <v>241</v>
      </c>
      <c r="P5" s="199">
        <v>500</v>
      </c>
      <c r="Q5" s="203">
        <v>23.218181818181815</v>
      </c>
      <c r="R5" s="199"/>
      <c r="S5" s="203"/>
      <c r="T5" s="204"/>
      <c r="U5" s="199"/>
      <c r="V5" s="203" t="s">
        <v>236</v>
      </c>
      <c r="W5" s="203" t="s">
        <v>236</v>
      </c>
      <c r="X5" s="199"/>
      <c r="Y5" s="199"/>
      <c r="Z5" s="199"/>
      <c r="AA5" s="199"/>
      <c r="AB5" s="199"/>
      <c r="AC5" s="199"/>
      <c r="AD5" s="199"/>
      <c r="AE5" s="203" t="s">
        <v>236</v>
      </c>
      <c r="AF5" s="203">
        <v>14.872727272727271</v>
      </c>
      <c r="AG5" s="199"/>
      <c r="AH5" s="199"/>
      <c r="AI5" s="203" t="s">
        <v>236</v>
      </c>
      <c r="AJ5" s="199"/>
      <c r="AK5" s="199"/>
      <c r="AL5" s="199"/>
      <c r="AM5" s="199"/>
      <c r="AN5" s="203" t="s">
        <v>236</v>
      </c>
      <c r="AO5" s="203" t="s">
        <v>236</v>
      </c>
      <c r="AP5" s="203" t="s">
        <v>236</v>
      </c>
      <c r="AQ5" s="199" t="s">
        <v>242</v>
      </c>
      <c r="AR5" s="202" t="s">
        <v>233</v>
      </c>
      <c r="AS5" s="202"/>
      <c r="AT5" s="202"/>
      <c r="AU5" s="202" t="s">
        <v>238</v>
      </c>
      <c r="AV5" s="202">
        <v>9.3469999999999995</v>
      </c>
      <c r="AW5" s="202"/>
      <c r="AX5" s="202"/>
      <c r="AY5" s="202"/>
      <c r="AZ5" s="202" t="s">
        <v>239</v>
      </c>
      <c r="BA5" s="199"/>
      <c r="BB5" s="202">
        <v>0</v>
      </c>
      <c r="BC5" s="202">
        <v>0</v>
      </c>
      <c r="BD5" s="202">
        <v>0</v>
      </c>
      <c r="BE5" s="202">
        <v>5</v>
      </c>
      <c r="BF5" s="202">
        <v>0</v>
      </c>
      <c r="BG5" s="202">
        <v>0</v>
      </c>
      <c r="BH5" s="202">
        <v>0</v>
      </c>
      <c r="BI5" s="202">
        <v>0</v>
      </c>
      <c r="BJ5" s="202">
        <v>0</v>
      </c>
      <c r="BK5" s="202">
        <v>0</v>
      </c>
      <c r="BL5" s="202"/>
      <c r="BM5" s="202"/>
      <c r="BN5" s="202"/>
      <c r="BO5" s="202" t="s">
        <v>233</v>
      </c>
      <c r="BP5" s="202"/>
      <c r="BQ5" s="202"/>
      <c r="BR5" s="202"/>
      <c r="BS5" s="202"/>
      <c r="BT5" s="202"/>
      <c r="BU5" s="202"/>
      <c r="BV5" s="202" t="s">
        <v>233</v>
      </c>
      <c r="BW5" s="205" t="s">
        <v>213</v>
      </c>
    </row>
    <row r="6" spans="1:75" ht="13" customHeight="1" x14ac:dyDescent="0.15">
      <c r="A6" s="54">
        <v>1931</v>
      </c>
      <c r="B6" s="36">
        <v>42299</v>
      </c>
      <c r="C6" s="201" t="s">
        <v>230</v>
      </c>
      <c r="D6" s="199" t="s">
        <v>203</v>
      </c>
      <c r="E6" s="199"/>
      <c r="F6" s="199" t="s">
        <v>231</v>
      </c>
      <c r="G6" s="200">
        <v>42185</v>
      </c>
      <c r="H6" s="202" t="s">
        <v>232</v>
      </c>
      <c r="I6" s="202" t="s">
        <v>233</v>
      </c>
      <c r="J6" s="202"/>
      <c r="K6" s="199" t="s">
        <v>234</v>
      </c>
      <c r="L6" s="199" t="s">
        <v>235</v>
      </c>
      <c r="M6" s="203">
        <v>102.37272727272726</v>
      </c>
      <c r="N6" s="203">
        <v>25.881818181818179</v>
      </c>
      <c r="O6" s="199"/>
      <c r="P6" s="199"/>
      <c r="Q6" s="203" t="s">
        <v>236</v>
      </c>
      <c r="R6" s="199"/>
      <c r="S6" s="203"/>
      <c r="T6" s="204"/>
      <c r="U6" s="199"/>
      <c r="V6" s="203" t="s">
        <v>236</v>
      </c>
      <c r="W6" s="203">
        <v>10.927272727272726</v>
      </c>
      <c r="X6" s="199"/>
      <c r="Y6" s="199"/>
      <c r="Z6" s="199"/>
      <c r="AA6" s="199"/>
      <c r="AB6" s="199"/>
      <c r="AC6" s="199"/>
      <c r="AD6" s="199"/>
      <c r="AE6" s="203" t="s">
        <v>236</v>
      </c>
      <c r="AF6" s="203" t="s">
        <v>236</v>
      </c>
      <c r="AG6" s="199"/>
      <c r="AH6" s="199"/>
      <c r="AI6" s="203">
        <v>18.672727272727272</v>
      </c>
      <c r="AJ6" s="199"/>
      <c r="AK6" s="199"/>
      <c r="AL6" s="199"/>
      <c r="AM6" s="199"/>
      <c r="AN6" s="203" t="s">
        <v>236</v>
      </c>
      <c r="AO6" s="203" t="s">
        <v>236</v>
      </c>
      <c r="AP6" s="203" t="s">
        <v>236</v>
      </c>
      <c r="AQ6" s="199" t="s">
        <v>237</v>
      </c>
      <c r="AR6" s="202" t="s">
        <v>233</v>
      </c>
      <c r="AS6" s="202"/>
      <c r="AT6" s="202"/>
      <c r="AU6" s="202" t="s">
        <v>238</v>
      </c>
      <c r="AV6" s="202">
        <v>9.3469999999999995</v>
      </c>
      <c r="AW6" s="202"/>
      <c r="AX6" s="202"/>
      <c r="AY6" s="202"/>
      <c r="AZ6" s="202" t="s">
        <v>239</v>
      </c>
      <c r="BA6" s="199"/>
      <c r="BB6" s="202">
        <v>0</v>
      </c>
      <c r="BC6" s="202">
        <v>0</v>
      </c>
      <c r="BD6" s="202">
        <v>0</v>
      </c>
      <c r="BE6" s="202">
        <v>0</v>
      </c>
      <c r="BF6" s="202">
        <v>0</v>
      </c>
      <c r="BG6" s="202">
        <v>0</v>
      </c>
      <c r="BH6" s="202">
        <v>0</v>
      </c>
      <c r="BI6" s="202">
        <v>0</v>
      </c>
      <c r="BJ6" s="202">
        <v>0</v>
      </c>
      <c r="BK6" s="202">
        <v>0</v>
      </c>
      <c r="BL6" s="202"/>
      <c r="BM6" s="202" t="s">
        <v>233</v>
      </c>
      <c r="BN6" s="202"/>
      <c r="BO6" s="4" t="s">
        <v>188</v>
      </c>
      <c r="BP6" s="202"/>
      <c r="BQ6" s="202"/>
      <c r="BR6" s="202"/>
      <c r="BS6" s="199" t="s">
        <v>229</v>
      </c>
      <c r="BT6" s="205" t="s">
        <v>173</v>
      </c>
      <c r="BU6" s="202">
        <v>20</v>
      </c>
      <c r="BV6" s="202" t="s">
        <v>233</v>
      </c>
      <c r="BW6" s="199"/>
    </row>
    <row r="7" spans="1:75" ht="13" customHeight="1" x14ac:dyDescent="0.15">
      <c r="A7" s="54">
        <v>4942</v>
      </c>
      <c r="B7" s="36">
        <v>42299</v>
      </c>
      <c r="C7" s="201" t="s">
        <v>230</v>
      </c>
      <c r="D7" s="199" t="s">
        <v>203</v>
      </c>
      <c r="E7" s="199"/>
      <c r="F7" s="199" t="s">
        <v>231</v>
      </c>
      <c r="G7" s="200">
        <v>42179</v>
      </c>
      <c r="H7" s="202" t="s">
        <v>221</v>
      </c>
      <c r="I7" s="202" t="s">
        <v>222</v>
      </c>
      <c r="J7" s="202"/>
      <c r="K7" s="199" t="s">
        <v>207</v>
      </c>
      <c r="L7" s="199" t="s">
        <v>208</v>
      </c>
      <c r="M7" s="203">
        <v>102.37272727272726</v>
      </c>
      <c r="N7" s="203">
        <v>25.836363636363636</v>
      </c>
      <c r="O7" s="199"/>
      <c r="P7" s="199"/>
      <c r="Q7" s="203" t="s">
        <v>236</v>
      </c>
      <c r="R7" s="199"/>
      <c r="S7" s="203"/>
      <c r="T7" s="204"/>
      <c r="U7" s="199"/>
      <c r="V7" s="203" t="s">
        <v>236</v>
      </c>
      <c r="W7" s="203">
        <v>10.918181818181818</v>
      </c>
      <c r="X7" s="199"/>
      <c r="Y7" s="199"/>
      <c r="Z7" s="199"/>
      <c r="AA7" s="199"/>
      <c r="AB7" s="199"/>
      <c r="AC7" s="199"/>
      <c r="AD7" s="199"/>
      <c r="AE7" s="203" t="s">
        <v>236</v>
      </c>
      <c r="AF7" s="203" t="s">
        <v>236</v>
      </c>
      <c r="AG7" s="199"/>
      <c r="AH7" s="199"/>
      <c r="AI7" s="203">
        <v>18.309999999999999</v>
      </c>
      <c r="AJ7" s="199"/>
      <c r="AK7" s="199"/>
      <c r="AL7" s="199"/>
      <c r="AM7" s="199"/>
      <c r="AN7" s="203" t="s">
        <v>236</v>
      </c>
      <c r="AO7" s="203" t="s">
        <v>236</v>
      </c>
      <c r="AP7" s="203" t="s">
        <v>236</v>
      </c>
      <c r="AQ7" s="199" t="s">
        <v>237</v>
      </c>
      <c r="AR7" s="202" t="s">
        <v>233</v>
      </c>
      <c r="AS7" s="202"/>
      <c r="AT7" s="202"/>
      <c r="AU7" s="202" t="s">
        <v>238</v>
      </c>
      <c r="AV7" s="202">
        <v>9.3469999999999995</v>
      </c>
      <c r="AW7" s="202"/>
      <c r="AX7" s="202"/>
      <c r="AY7" s="202"/>
      <c r="AZ7" s="202" t="s">
        <v>239</v>
      </c>
      <c r="BA7" s="199"/>
      <c r="BB7" s="202">
        <v>0</v>
      </c>
      <c r="BC7" s="202">
        <v>0</v>
      </c>
      <c r="BD7" s="202">
        <v>0</v>
      </c>
      <c r="BE7" s="202">
        <v>5</v>
      </c>
      <c r="BF7" s="202">
        <v>0</v>
      </c>
      <c r="BG7" s="202">
        <v>0</v>
      </c>
      <c r="BH7" s="202">
        <v>0</v>
      </c>
      <c r="BI7" s="202">
        <v>0</v>
      </c>
      <c r="BJ7" s="202">
        <v>0</v>
      </c>
      <c r="BK7" s="202">
        <v>0</v>
      </c>
      <c r="BL7" s="202"/>
      <c r="BM7" s="202"/>
      <c r="BN7" s="202"/>
      <c r="BO7" s="202" t="s">
        <v>233</v>
      </c>
      <c r="BP7" s="202"/>
      <c r="BQ7" s="202"/>
      <c r="BR7" s="202"/>
      <c r="BS7" s="202"/>
      <c r="BT7" s="202"/>
      <c r="BU7" s="202"/>
      <c r="BV7" s="202" t="s">
        <v>233</v>
      </c>
      <c r="BW7" s="205" t="s">
        <v>213</v>
      </c>
    </row>
  </sheetData>
  <sheetProtection algorithmName="SHA-512" hashValue="kxvJqWvPtp8Q6Gab8rqEjbBfVVfsabOaxzeuKZzmZF4fnhFsGaPuXenXEqubULTQZMyJv8QxG5DKqVUx23+/5g==" saltValue="O2eNAYP4fggZwGP8l731rA==" spinCount="100000" sheet="1" objects="1" scenarios="1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A0EF-7C5F-C841-B147-481AFD912A10}">
  <sheetPr codeName="Sheet11"/>
  <dimension ref="A1:BW7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4" width="11.33203125" customWidth="1"/>
    <col min="75" max="75" width="29.5" customWidth="1"/>
  </cols>
  <sheetData>
    <row r="1" spans="1:75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111</v>
      </c>
      <c r="AO1" s="18" t="s">
        <v>112</v>
      </c>
      <c r="AP1" s="18" t="s">
        <v>113</v>
      </c>
      <c r="AQ1" s="19" t="s">
        <v>114</v>
      </c>
      <c r="AR1" s="20" t="s">
        <v>115</v>
      </c>
      <c r="AS1" s="20" t="s">
        <v>88</v>
      </c>
      <c r="AT1" s="21" t="s">
        <v>89</v>
      </c>
      <c r="AU1" s="22" t="s">
        <v>90</v>
      </c>
      <c r="AV1" s="23" t="s">
        <v>91</v>
      </c>
      <c r="AW1" s="22"/>
      <c r="AX1" s="22"/>
      <c r="AY1" s="22"/>
      <c r="AZ1" s="24" t="s">
        <v>92</v>
      </c>
      <c r="BA1" s="25" t="s">
        <v>93</v>
      </c>
      <c r="BB1" s="26" t="s">
        <v>94</v>
      </c>
      <c r="BC1" s="27" t="s">
        <v>123</v>
      </c>
      <c r="BD1" s="28" t="s">
        <v>124</v>
      </c>
      <c r="BE1" s="27" t="s">
        <v>125</v>
      </c>
      <c r="BF1" s="28" t="s">
        <v>135</v>
      </c>
      <c r="BG1" s="29" t="s">
        <v>136</v>
      </c>
      <c r="BH1" s="26" t="s">
        <v>137</v>
      </c>
      <c r="BI1" s="30" t="s">
        <v>138</v>
      </c>
      <c r="BJ1" s="26" t="s">
        <v>139</v>
      </c>
      <c r="BK1" s="30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8" t="s">
        <v>59</v>
      </c>
      <c r="BQ1" s="8"/>
      <c r="BR1" s="8"/>
      <c r="BS1" s="31" t="s">
        <v>12</v>
      </c>
      <c r="BT1" s="31" t="s">
        <v>60</v>
      </c>
      <c r="BU1" s="32" t="s">
        <v>53</v>
      </c>
      <c r="BV1" s="32" t="s">
        <v>8</v>
      </c>
      <c r="BW1" s="31" t="s">
        <v>11</v>
      </c>
    </row>
    <row r="2" spans="1:75" x14ac:dyDescent="0.15">
      <c r="A2" s="54">
        <v>1930</v>
      </c>
      <c r="B2" s="36">
        <v>41927</v>
      </c>
      <c r="C2" s="1" t="s">
        <v>186</v>
      </c>
      <c r="D2" s="179" t="s">
        <v>203</v>
      </c>
      <c r="E2" s="2"/>
      <c r="F2" s="2" t="s">
        <v>187</v>
      </c>
      <c r="G2" s="3">
        <v>41820</v>
      </c>
      <c r="H2" s="4" t="s">
        <v>188</v>
      </c>
      <c r="I2" s="4" t="s">
        <v>189</v>
      </c>
      <c r="J2" s="4"/>
      <c r="K2" s="55" t="s">
        <v>190</v>
      </c>
      <c r="L2" s="2" t="s">
        <v>191</v>
      </c>
      <c r="M2" s="2">
        <v>92.66</v>
      </c>
      <c r="N2" s="2">
        <v>30.785</v>
      </c>
      <c r="O2" s="2" t="s">
        <v>130</v>
      </c>
      <c r="P2" s="2">
        <v>500</v>
      </c>
      <c r="Q2" s="2">
        <v>22.774000000000001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5"/>
      <c r="AN2" s="55"/>
      <c r="AO2" s="55"/>
      <c r="AP2" s="55"/>
      <c r="AQ2" s="55" t="s">
        <v>192</v>
      </c>
      <c r="AR2" s="56" t="s">
        <v>189</v>
      </c>
      <c r="AT2" s="56"/>
      <c r="AU2" s="4" t="s">
        <v>193</v>
      </c>
      <c r="AV2" s="4">
        <v>8.5410000000000004</v>
      </c>
      <c r="AW2" s="4"/>
      <c r="AX2" s="4"/>
      <c r="AY2" s="4"/>
      <c r="AZ2" s="56" t="s">
        <v>194</v>
      </c>
      <c r="BA2" s="55"/>
      <c r="BB2" s="56">
        <v>0</v>
      </c>
      <c r="BC2" s="56">
        <v>0</v>
      </c>
      <c r="BD2" s="4">
        <v>0</v>
      </c>
      <c r="BE2" s="56">
        <v>0</v>
      </c>
      <c r="BF2" s="56">
        <v>0</v>
      </c>
      <c r="BG2" s="56">
        <v>0</v>
      </c>
      <c r="BH2" s="56">
        <v>0</v>
      </c>
      <c r="BI2" s="56">
        <v>0</v>
      </c>
      <c r="BJ2" s="4">
        <v>0</v>
      </c>
      <c r="BK2" s="4">
        <v>0</v>
      </c>
      <c r="BL2" s="56"/>
      <c r="BM2" s="56" t="s">
        <v>189</v>
      </c>
      <c r="BN2" s="4"/>
      <c r="BO2" s="4" t="s">
        <v>188</v>
      </c>
      <c r="BP2" s="4"/>
      <c r="BQ2" s="4"/>
      <c r="BR2" s="4"/>
      <c r="BS2" s="2" t="s">
        <v>172</v>
      </c>
      <c r="BT2" s="57" t="s">
        <v>173</v>
      </c>
      <c r="BU2" s="4">
        <v>18.25</v>
      </c>
      <c r="BV2" s="56" t="s">
        <v>189</v>
      </c>
      <c r="BW2" s="55"/>
    </row>
    <row r="3" spans="1:75" x14ac:dyDescent="0.15">
      <c r="A3" s="54">
        <v>4941</v>
      </c>
      <c r="B3" s="36">
        <v>42103</v>
      </c>
      <c r="C3" s="1" t="s">
        <v>202</v>
      </c>
      <c r="D3" s="179" t="s">
        <v>203</v>
      </c>
      <c r="E3" s="2"/>
      <c r="F3" s="2" t="s">
        <v>204</v>
      </c>
      <c r="G3" s="3">
        <v>42052</v>
      </c>
      <c r="H3" s="4" t="s">
        <v>205</v>
      </c>
      <c r="I3" s="4" t="s">
        <v>206</v>
      </c>
      <c r="J3" s="4"/>
      <c r="K3" s="2" t="s">
        <v>207</v>
      </c>
      <c r="L3" s="2" t="s">
        <v>208</v>
      </c>
      <c r="M3" s="2">
        <v>92.66</v>
      </c>
      <c r="N3" s="2">
        <v>30.78</v>
      </c>
      <c r="O3" s="2" t="s">
        <v>209</v>
      </c>
      <c r="P3" s="2">
        <v>500</v>
      </c>
      <c r="Q3" s="2">
        <v>22.77</v>
      </c>
      <c r="R3" s="2"/>
      <c r="S3" s="2"/>
      <c r="T3" s="18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5"/>
      <c r="AN3" s="55"/>
      <c r="AO3" s="55"/>
      <c r="AP3" s="55"/>
      <c r="AQ3" s="55" t="s">
        <v>210</v>
      </c>
      <c r="AR3" s="56" t="s">
        <v>206</v>
      </c>
      <c r="AS3" s="56"/>
      <c r="AT3" s="56"/>
      <c r="AU3" s="4" t="s">
        <v>211</v>
      </c>
      <c r="AV3" s="4">
        <v>8.5410000000000004</v>
      </c>
      <c r="AW3" s="4"/>
      <c r="AX3" s="4"/>
      <c r="AY3" s="4"/>
      <c r="AZ3" s="56" t="s">
        <v>212</v>
      </c>
      <c r="BA3" s="55"/>
      <c r="BB3" s="56">
        <v>0</v>
      </c>
      <c r="BC3" s="56">
        <v>0</v>
      </c>
      <c r="BD3" s="4">
        <v>0</v>
      </c>
      <c r="BE3" s="56">
        <v>5</v>
      </c>
      <c r="BF3" s="56">
        <v>0</v>
      </c>
      <c r="BG3" s="56">
        <v>0</v>
      </c>
      <c r="BH3" s="56">
        <v>0</v>
      </c>
      <c r="BI3" s="56">
        <v>0</v>
      </c>
      <c r="BJ3" s="4">
        <v>0</v>
      </c>
      <c r="BK3" s="4">
        <v>0</v>
      </c>
      <c r="BL3" s="56"/>
      <c r="BM3" s="56" t="s">
        <v>189</v>
      </c>
      <c r="BN3" s="4"/>
      <c r="BO3" s="4" t="s">
        <v>206</v>
      </c>
      <c r="BP3" s="4"/>
      <c r="BQ3" s="4"/>
      <c r="BR3" s="4"/>
      <c r="BS3" s="4"/>
      <c r="BT3" s="4"/>
      <c r="BU3" s="4"/>
      <c r="BV3" s="56" t="s">
        <v>206</v>
      </c>
      <c r="BW3" s="181" t="s">
        <v>213</v>
      </c>
    </row>
    <row r="4" spans="1:75" x14ac:dyDescent="0.15">
      <c r="A4" s="54">
        <v>1928</v>
      </c>
      <c r="B4" s="36">
        <v>41927</v>
      </c>
      <c r="C4" s="1" t="s">
        <v>186</v>
      </c>
      <c r="D4" s="179" t="s">
        <v>203</v>
      </c>
      <c r="E4" s="2"/>
      <c r="F4" s="2" t="s">
        <v>195</v>
      </c>
      <c r="G4" s="3">
        <v>41820</v>
      </c>
      <c r="H4" s="4" t="s">
        <v>188</v>
      </c>
      <c r="I4" s="4" t="s">
        <v>189</v>
      </c>
      <c r="J4" s="4"/>
      <c r="K4" s="55" t="s">
        <v>190</v>
      </c>
      <c r="L4" s="2" t="s">
        <v>191</v>
      </c>
      <c r="M4" s="2">
        <v>109.27200000000001</v>
      </c>
      <c r="N4" s="2">
        <v>30.785</v>
      </c>
      <c r="O4" s="2" t="s">
        <v>130</v>
      </c>
      <c r="P4" s="2">
        <v>500</v>
      </c>
      <c r="Q4" s="2">
        <v>22.774000000000001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14.583</v>
      </c>
      <c r="AG4" s="2"/>
      <c r="AH4" s="2"/>
      <c r="AI4" s="2"/>
      <c r="AJ4" s="2"/>
      <c r="AK4" s="2"/>
      <c r="AL4" s="2"/>
      <c r="AM4" s="55"/>
      <c r="AN4" s="55"/>
      <c r="AO4" s="55"/>
      <c r="AP4" s="55"/>
      <c r="AQ4" s="55" t="s">
        <v>196</v>
      </c>
      <c r="AR4" s="56" t="s">
        <v>189</v>
      </c>
      <c r="AT4" s="56"/>
      <c r="AU4" s="4" t="s">
        <v>193</v>
      </c>
      <c r="AV4" s="4">
        <v>8.5410000000000004</v>
      </c>
      <c r="AW4" s="4"/>
      <c r="AX4" s="4"/>
      <c r="AY4" s="4"/>
      <c r="AZ4" s="56" t="s">
        <v>194</v>
      </c>
      <c r="BA4" s="55"/>
      <c r="BB4" s="56">
        <v>0</v>
      </c>
      <c r="BC4" s="56">
        <v>0</v>
      </c>
      <c r="BD4" s="4">
        <v>0</v>
      </c>
      <c r="BE4" s="56">
        <v>0</v>
      </c>
      <c r="BF4" s="56">
        <v>0</v>
      </c>
      <c r="BG4" s="56">
        <v>0</v>
      </c>
      <c r="BH4" s="56">
        <v>0</v>
      </c>
      <c r="BI4" s="56">
        <v>0</v>
      </c>
      <c r="BJ4" s="4">
        <v>0</v>
      </c>
      <c r="BK4" s="4">
        <v>0</v>
      </c>
      <c r="BL4" s="56"/>
      <c r="BM4" s="56" t="s">
        <v>189</v>
      </c>
      <c r="BN4" s="4"/>
      <c r="BO4" s="4" t="s">
        <v>188</v>
      </c>
      <c r="BP4" s="4"/>
      <c r="BQ4" s="4"/>
      <c r="BR4" s="4"/>
      <c r="BS4" s="2" t="s">
        <v>172</v>
      </c>
      <c r="BT4" s="57" t="s">
        <v>173</v>
      </c>
      <c r="BU4" s="4">
        <v>18.25</v>
      </c>
      <c r="BV4" s="56" t="s">
        <v>189</v>
      </c>
      <c r="BW4" s="55"/>
    </row>
    <row r="5" spans="1:75" x14ac:dyDescent="0.15">
      <c r="A5" s="54">
        <v>4939</v>
      </c>
      <c r="B5" s="36">
        <v>42103</v>
      </c>
      <c r="C5" s="1" t="s">
        <v>202</v>
      </c>
      <c r="D5" s="179" t="s">
        <v>203</v>
      </c>
      <c r="E5" s="2"/>
      <c r="F5" s="2" t="s">
        <v>214</v>
      </c>
      <c r="G5" s="3">
        <v>42052</v>
      </c>
      <c r="H5" s="4" t="s">
        <v>205</v>
      </c>
      <c r="I5" s="4" t="s">
        <v>206</v>
      </c>
      <c r="J5" s="4"/>
      <c r="K5" s="2" t="s">
        <v>207</v>
      </c>
      <c r="L5" s="2" t="s">
        <v>208</v>
      </c>
      <c r="M5" s="2">
        <v>109.27200000000001</v>
      </c>
      <c r="N5" s="2">
        <v>30.78</v>
      </c>
      <c r="O5" s="2" t="s">
        <v>209</v>
      </c>
      <c r="P5" s="2">
        <v>500</v>
      </c>
      <c r="Q5" s="2">
        <v>22.77</v>
      </c>
      <c r="R5" s="2"/>
      <c r="S5" s="2"/>
      <c r="T5" s="180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92">
        <v>14.582000000000001</v>
      </c>
      <c r="AG5" s="2"/>
      <c r="AH5" s="2"/>
      <c r="AI5" s="2"/>
      <c r="AJ5" s="2"/>
      <c r="AK5" s="2"/>
      <c r="AL5" s="2"/>
      <c r="AM5" s="55"/>
      <c r="AN5" s="55"/>
      <c r="AO5" s="55"/>
      <c r="AP5" s="55"/>
      <c r="AQ5" s="55" t="s">
        <v>215</v>
      </c>
      <c r="AR5" s="56" t="s">
        <v>206</v>
      </c>
      <c r="AS5" s="56"/>
      <c r="AT5" s="56"/>
      <c r="AU5" s="4" t="s">
        <v>211</v>
      </c>
      <c r="AV5" s="4">
        <v>8.5410000000000004</v>
      </c>
      <c r="AW5" s="4"/>
      <c r="AX5" s="4"/>
      <c r="AY5" s="4"/>
      <c r="AZ5" s="56" t="s">
        <v>212</v>
      </c>
      <c r="BA5" s="55"/>
      <c r="BB5" s="56">
        <v>0</v>
      </c>
      <c r="BC5" s="56">
        <v>0</v>
      </c>
      <c r="BD5" s="4">
        <v>0</v>
      </c>
      <c r="BE5" s="56">
        <v>5</v>
      </c>
      <c r="BF5" s="56">
        <v>0</v>
      </c>
      <c r="BG5" s="56">
        <v>0</v>
      </c>
      <c r="BH5" s="56">
        <v>0</v>
      </c>
      <c r="BI5" s="56">
        <v>0</v>
      </c>
      <c r="BJ5" s="4">
        <v>0</v>
      </c>
      <c r="BK5" s="4">
        <v>0</v>
      </c>
      <c r="BL5" s="56"/>
      <c r="BM5" s="56" t="s">
        <v>189</v>
      </c>
      <c r="BN5" s="4"/>
      <c r="BO5" s="4" t="s">
        <v>206</v>
      </c>
      <c r="BP5" s="4"/>
      <c r="BQ5" s="4"/>
      <c r="BR5" s="4"/>
      <c r="BS5" s="4"/>
      <c r="BT5" s="4"/>
      <c r="BU5" s="4"/>
      <c r="BV5" s="56" t="s">
        <v>206</v>
      </c>
      <c r="BW5" s="181" t="s">
        <v>213</v>
      </c>
    </row>
    <row r="6" spans="1:75" x14ac:dyDescent="0.15">
      <c r="A6" s="54">
        <v>1931</v>
      </c>
      <c r="B6" s="36">
        <v>41927</v>
      </c>
      <c r="C6" s="1" t="s">
        <v>186</v>
      </c>
      <c r="D6" s="179" t="s">
        <v>203</v>
      </c>
      <c r="E6" s="2"/>
      <c r="F6" s="2" t="s">
        <v>197</v>
      </c>
      <c r="G6" s="3">
        <v>41820</v>
      </c>
      <c r="H6" s="4" t="s">
        <v>188</v>
      </c>
      <c r="I6" s="4" t="s">
        <v>189</v>
      </c>
      <c r="J6" s="4"/>
      <c r="K6" s="55" t="s">
        <v>190</v>
      </c>
      <c r="L6" s="2" t="s">
        <v>191</v>
      </c>
      <c r="M6" s="2">
        <v>100.37</v>
      </c>
      <c r="N6" s="2">
        <v>25.332999999999998</v>
      </c>
      <c r="O6" s="2"/>
      <c r="P6" s="2"/>
      <c r="Q6" s="2"/>
      <c r="R6" s="2"/>
      <c r="S6" s="2"/>
      <c r="T6" s="2"/>
      <c r="U6" s="2"/>
      <c r="V6" s="2"/>
      <c r="W6" s="2">
        <v>10.71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18.309999999999999</v>
      </c>
      <c r="AJ6" s="2"/>
      <c r="AK6" s="2"/>
      <c r="AL6" s="2"/>
      <c r="AM6" s="55"/>
      <c r="AN6" s="55"/>
      <c r="AO6" s="55"/>
      <c r="AP6" s="55"/>
      <c r="AQ6" s="55" t="s">
        <v>198</v>
      </c>
      <c r="AR6" s="56" t="s">
        <v>189</v>
      </c>
      <c r="AT6" s="56"/>
      <c r="AU6" s="4" t="s">
        <v>193</v>
      </c>
      <c r="AV6" s="4">
        <v>8.5410000000000004</v>
      </c>
      <c r="AW6" s="4"/>
      <c r="AX6" s="4"/>
      <c r="AY6" s="4"/>
      <c r="AZ6" s="56" t="s">
        <v>194</v>
      </c>
      <c r="BA6" s="55"/>
      <c r="BB6" s="56">
        <v>0</v>
      </c>
      <c r="BC6" s="56">
        <v>0</v>
      </c>
      <c r="BD6" s="56">
        <v>0</v>
      </c>
      <c r="BE6" s="56">
        <v>0</v>
      </c>
      <c r="BF6" s="56">
        <v>0</v>
      </c>
      <c r="BG6" s="56">
        <v>0</v>
      </c>
      <c r="BH6" s="56">
        <v>0</v>
      </c>
      <c r="BI6" s="56">
        <v>0</v>
      </c>
      <c r="BJ6" s="4">
        <v>0</v>
      </c>
      <c r="BK6" s="4">
        <v>0</v>
      </c>
      <c r="BL6" s="56"/>
      <c r="BM6" s="56" t="s">
        <v>189</v>
      </c>
      <c r="BN6" s="4"/>
      <c r="BO6" s="4" t="s">
        <v>189</v>
      </c>
      <c r="BP6" s="4"/>
      <c r="BQ6" s="4"/>
      <c r="BR6" s="4"/>
      <c r="BS6" s="2" t="s">
        <v>172</v>
      </c>
      <c r="BT6" s="57" t="s">
        <v>173</v>
      </c>
      <c r="BU6" s="4">
        <v>18.25</v>
      </c>
      <c r="BV6" s="56" t="s">
        <v>189</v>
      </c>
      <c r="BW6" s="55"/>
    </row>
    <row r="7" spans="1:75" x14ac:dyDescent="0.15">
      <c r="A7" s="54">
        <v>4942</v>
      </c>
      <c r="B7" s="36">
        <v>42103</v>
      </c>
      <c r="C7" s="1" t="s">
        <v>202</v>
      </c>
      <c r="D7" s="179" t="s">
        <v>203</v>
      </c>
      <c r="E7" s="2"/>
      <c r="F7" s="2" t="s">
        <v>216</v>
      </c>
      <c r="G7" s="3">
        <v>42052</v>
      </c>
      <c r="H7" s="4" t="s">
        <v>205</v>
      </c>
      <c r="I7" s="4" t="s">
        <v>206</v>
      </c>
      <c r="J7" s="4"/>
      <c r="K7" s="2" t="s">
        <v>207</v>
      </c>
      <c r="L7" s="2" t="s">
        <v>208</v>
      </c>
      <c r="M7" s="2">
        <v>100.37</v>
      </c>
      <c r="N7" s="2">
        <v>25.33</v>
      </c>
      <c r="O7" s="2"/>
      <c r="P7" s="2"/>
      <c r="Q7" s="2"/>
      <c r="R7" s="2"/>
      <c r="S7" s="2"/>
      <c r="T7" s="180"/>
      <c r="U7" s="2"/>
      <c r="V7" s="2"/>
      <c r="W7" s="2">
        <v>10.71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18.309999999999999</v>
      </c>
      <c r="AJ7" s="2"/>
      <c r="AK7" s="2"/>
      <c r="AL7" s="2"/>
      <c r="AM7" s="55"/>
      <c r="AN7" s="55"/>
      <c r="AO7" s="55"/>
      <c r="AP7" s="55"/>
      <c r="AQ7" s="55" t="s">
        <v>217</v>
      </c>
      <c r="AR7" s="56" t="s">
        <v>206</v>
      </c>
      <c r="AS7" s="56"/>
      <c r="AT7" s="56"/>
      <c r="AU7" s="4" t="s">
        <v>211</v>
      </c>
      <c r="AV7" s="4">
        <v>8.5410000000000004</v>
      </c>
      <c r="AW7" s="4"/>
      <c r="AX7" s="4"/>
      <c r="AY7" s="4"/>
      <c r="AZ7" s="56" t="s">
        <v>212</v>
      </c>
      <c r="BA7" s="55"/>
      <c r="BB7" s="56">
        <v>0</v>
      </c>
      <c r="BC7" s="56">
        <v>0</v>
      </c>
      <c r="BD7" s="56">
        <v>0</v>
      </c>
      <c r="BE7" s="56">
        <v>5</v>
      </c>
      <c r="BF7" s="56">
        <v>0</v>
      </c>
      <c r="BG7" s="56">
        <v>0</v>
      </c>
      <c r="BH7" s="56">
        <v>0</v>
      </c>
      <c r="BI7" s="56">
        <v>0</v>
      </c>
      <c r="BJ7" s="4">
        <v>0</v>
      </c>
      <c r="BK7" s="4">
        <v>0</v>
      </c>
      <c r="BL7" s="56"/>
      <c r="BM7" s="56" t="s">
        <v>189</v>
      </c>
      <c r="BN7" s="4"/>
      <c r="BO7" s="4" t="s">
        <v>206</v>
      </c>
      <c r="BP7" s="4"/>
      <c r="BQ7" s="4"/>
      <c r="BR7" s="4"/>
      <c r="BS7" s="4"/>
      <c r="BT7" s="4"/>
      <c r="BU7" s="4"/>
      <c r="BV7" s="56" t="s">
        <v>206</v>
      </c>
      <c r="BW7" s="181" t="s">
        <v>213</v>
      </c>
    </row>
  </sheetData>
  <sheetProtection algorithmName="SHA-512" hashValue="6bv+87rV3mRk6M5xyRd7mCTG7Qlu2PRcs8H0uBlzEBFiIqKVQYiqF7KSP1e6qstnlHz3YHTqZ8uXtJyFIJy56A==" saltValue="DPajDPFA6DKSJfXgMAXBuA==" spinCount="100000" sheet="1" objects="1" scenarios="1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rgb="FFFFFF00"/>
  </sheetPr>
  <dimension ref="A1:AW74"/>
  <sheetViews>
    <sheetView zoomScale="75" workbookViewId="0">
      <selection activeCell="K36" sqref="K36"/>
    </sheetView>
  </sheetViews>
  <sheetFormatPr baseColWidth="10" defaultRowHeight="13" x14ac:dyDescent="0.15"/>
  <cols>
    <col min="1" max="2" width="20.33203125" style="59" customWidth="1"/>
    <col min="3" max="14" width="12.1640625" style="59" customWidth="1"/>
    <col min="15" max="16" width="12.1640625" style="59" hidden="1" customWidth="1"/>
    <col min="17" max="20" width="12.1640625" style="59" customWidth="1"/>
    <col min="21" max="49" width="7.5" style="59" customWidth="1"/>
    <col min="50" max="16384" width="10.83203125" style="59"/>
  </cols>
  <sheetData>
    <row r="1" spans="1:49" ht="14" x14ac:dyDescent="0.15">
      <c r="A1" s="58" t="s">
        <v>149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</row>
    <row r="2" spans="1:49" ht="14" x14ac:dyDescent="0.15">
      <c r="A2" s="60" t="s">
        <v>48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</row>
    <row r="3" spans="1:49" ht="15" thickBot="1" x14ac:dyDescent="0.2">
      <c r="A3" s="58"/>
      <c r="B3" s="58"/>
      <c r="C3" s="58"/>
      <c r="D3" s="58"/>
      <c r="E3" s="58"/>
      <c r="F3" s="58"/>
      <c r="G3" s="61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</row>
    <row r="4" spans="1:49" ht="14" x14ac:dyDescent="0.15">
      <c r="A4" s="62" t="s">
        <v>13</v>
      </c>
      <c r="B4" s="63"/>
      <c r="C4" s="63"/>
      <c r="D4" s="63"/>
      <c r="E4" s="63"/>
      <c r="F4" s="63"/>
      <c r="G4" s="64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5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</row>
    <row r="5" spans="1:49" ht="14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7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</row>
    <row r="6" spans="1:49" ht="14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</row>
    <row r="7" spans="1:49" ht="75" x14ac:dyDescent="0.15">
      <c r="A7" s="146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6" t="s">
        <v>84</v>
      </c>
      <c r="G7" s="141" t="s">
        <v>85</v>
      </c>
      <c r="H7" s="147" t="s">
        <v>86</v>
      </c>
      <c r="I7" s="141" t="s">
        <v>87</v>
      </c>
      <c r="J7" s="142" t="s">
        <v>61</v>
      </c>
      <c r="K7" s="143" t="s">
        <v>62</v>
      </c>
      <c r="L7" s="143" t="s">
        <v>63</v>
      </c>
      <c r="M7" s="143" t="s">
        <v>64</v>
      </c>
      <c r="N7" s="143" t="s">
        <v>65</v>
      </c>
      <c r="O7" s="144" t="s">
        <v>66</v>
      </c>
      <c r="P7" s="144" t="s">
        <v>67</v>
      </c>
      <c r="Q7" s="144" t="s">
        <v>25</v>
      </c>
      <c r="R7" s="144" t="s">
        <v>26</v>
      </c>
      <c r="S7" s="143" t="s">
        <v>68</v>
      </c>
      <c r="T7" s="148" t="s">
        <v>95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</row>
    <row r="8" spans="1:49" ht="14" x14ac:dyDescent="0.15">
      <c r="A8" s="150" t="str">
        <f>'TAS Apr 2016'!K2</f>
        <v>Aurora Energy</v>
      </c>
      <c r="B8" s="159" t="str">
        <f>'TAS Apr 2016'!L2</f>
        <v>Regulated offer</v>
      </c>
      <c r="C8" s="124">
        <f>91*'TAS Apr 2016'!M2/100</f>
        <v>79.888900000000007</v>
      </c>
      <c r="D8" s="124">
        <f>IF($C$5&gt;='TAS Apr 2016'!P2,('TAS Apr 2016'!P2*'TAS Apr 2016'!N2/100),('TAS Bills April 2016'!$C$5*'TAS Apr 2016'!N2/100))</f>
        <v>156.25</v>
      </c>
      <c r="E8" s="124">
        <v>0</v>
      </c>
      <c r="F8" s="125">
        <v>0</v>
      </c>
      <c r="G8" s="126">
        <v>0</v>
      </c>
      <c r="H8" s="127">
        <f>IF(($C$5&lt;'TAS Apr 2016'!P2),(0),('TAS Bills April 2016'!$C$5-'TAS Apr 2016'!P2)*'TAS Apr 2016'!Q2/100)</f>
        <v>1032.3</v>
      </c>
      <c r="I8" s="128">
        <f>SUM(C8:H8)</f>
        <v>1268.4388999999999</v>
      </c>
      <c r="J8" s="129">
        <f>I8*4</f>
        <v>5073.7555999999995</v>
      </c>
      <c r="K8" s="123">
        <v>0</v>
      </c>
      <c r="L8" s="123">
        <f>'TAS Apr 2016'!AZ2</f>
        <v>0</v>
      </c>
      <c r="M8" s="123">
        <f>'TAS Apr 2016'!BA2</f>
        <v>0</v>
      </c>
      <c r="N8" s="123">
        <f>'TAS Apr 2016'!BB2</f>
        <v>0</v>
      </c>
      <c r="O8" s="129">
        <f>J8</f>
        <v>5073.7555999999995</v>
      </c>
      <c r="P8" s="129">
        <f>O8-(O8*M8/100)</f>
        <v>5073.7555999999995</v>
      </c>
      <c r="Q8" s="129">
        <f>O8*1.1</f>
        <v>5581.1311599999999</v>
      </c>
      <c r="R8" s="129">
        <f>P8*1.1</f>
        <v>5581.1311599999999</v>
      </c>
      <c r="S8" s="151">
        <f>'TAS Apr 2016'!BI2</f>
        <v>0</v>
      </c>
      <c r="T8" s="152" t="str">
        <f>'TAS Apr 2016'!BJ2</f>
        <v>n</v>
      </c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</row>
    <row r="9" spans="1:49" ht="15" thickBot="1" x14ac:dyDescent="0.2">
      <c r="A9" s="153" t="str">
        <f>'TAS Apr 2016'!K3</f>
        <v>ERM Power</v>
      </c>
      <c r="B9" s="160" t="str">
        <f>'TAS Apr 2016'!L3</f>
        <v>Adjustable</v>
      </c>
      <c r="C9" s="133">
        <f>91*'TAS Apr 2016'!M3/100</f>
        <v>80.08</v>
      </c>
      <c r="D9" s="133">
        <f>C5*'TAS Apr 2016'!N3/100</f>
        <v>1182</v>
      </c>
      <c r="E9" s="133">
        <v>0</v>
      </c>
      <c r="F9" s="134">
        <v>0</v>
      </c>
      <c r="G9" s="135">
        <v>0</v>
      </c>
      <c r="H9" s="136">
        <v>0</v>
      </c>
      <c r="I9" s="137">
        <f t="shared" ref="I9" si="0">SUM(C9:H9)</f>
        <v>1262.08</v>
      </c>
      <c r="J9" s="138">
        <f t="shared" ref="J9" si="1">I9*4</f>
        <v>5048.32</v>
      </c>
      <c r="K9" s="132">
        <v>0</v>
      </c>
      <c r="L9" s="132">
        <f>'TAS Apr 2016'!AZ3</f>
        <v>0</v>
      </c>
      <c r="M9" s="132">
        <f>'TAS Apr 2016'!BA3</f>
        <v>0</v>
      </c>
      <c r="N9" s="132">
        <f>'TAS Apr 2016'!BB3</f>
        <v>0</v>
      </c>
      <c r="O9" s="138">
        <f>J9-((I9-C9)*L9/100)*4</f>
        <v>5048.32</v>
      </c>
      <c r="P9" s="138">
        <f>O9-(O9*M9/100)</f>
        <v>5048.32</v>
      </c>
      <c r="Q9" s="138">
        <f>O9*1.1</f>
        <v>5553.152</v>
      </c>
      <c r="R9" s="138">
        <f>P9*1.1</f>
        <v>5553.152</v>
      </c>
      <c r="S9" s="154">
        <f>'TAS Apr 2016'!BI3</f>
        <v>0</v>
      </c>
      <c r="T9" s="155" t="str">
        <f>'TAS Apr 2016'!BJ3</f>
        <v>n</v>
      </c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</row>
    <row r="10" spans="1:49" ht="14" x14ac:dyDescent="0.1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</row>
    <row r="11" spans="1:49" ht="15" thickBot="1" x14ac:dyDescent="0.2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</row>
    <row r="12" spans="1:49" ht="14" x14ac:dyDescent="0.15">
      <c r="A12" s="62" t="s">
        <v>96</v>
      </c>
      <c r="B12" s="63"/>
      <c r="C12" s="63"/>
      <c r="D12" s="79"/>
      <c r="E12" s="79"/>
      <c r="F12" s="79"/>
      <c r="G12" s="79"/>
      <c r="H12" s="79"/>
      <c r="I12" s="80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5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</row>
    <row r="13" spans="1:49" ht="14" x14ac:dyDescent="0.15">
      <c r="A13" s="66" t="s">
        <v>79</v>
      </c>
      <c r="B13" s="64"/>
      <c r="C13" s="85">
        <v>5000</v>
      </c>
      <c r="D13" s="81"/>
      <c r="E13" s="81"/>
      <c r="F13" s="81"/>
      <c r="G13" s="81"/>
      <c r="H13" s="81"/>
      <c r="I13" s="82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7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</row>
    <row r="14" spans="1:49" ht="14" x14ac:dyDescent="0.15">
      <c r="A14" s="66" t="s">
        <v>97</v>
      </c>
      <c r="B14" s="64"/>
      <c r="C14" s="86">
        <v>0.7</v>
      </c>
      <c r="D14" s="81"/>
      <c r="E14" s="81"/>
      <c r="F14" s="81"/>
      <c r="G14" s="81"/>
      <c r="H14" s="81"/>
      <c r="I14" s="82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7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</row>
    <row r="15" spans="1:49" ht="14" x14ac:dyDescent="0.15">
      <c r="A15" s="66" t="s">
        <v>148</v>
      </c>
      <c r="B15" s="64"/>
      <c r="C15" s="86">
        <v>0.3</v>
      </c>
      <c r="D15" s="81"/>
      <c r="E15" s="81"/>
      <c r="F15" s="81"/>
      <c r="G15" s="81"/>
      <c r="H15" s="81"/>
      <c r="I15" s="82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7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</row>
    <row r="16" spans="1:49" ht="14" x14ac:dyDescent="0.15">
      <c r="A16" s="66"/>
      <c r="B16" s="64"/>
      <c r="C16" s="81"/>
      <c r="D16" s="81"/>
      <c r="E16" s="81"/>
      <c r="F16" s="81"/>
      <c r="G16" s="81"/>
      <c r="H16" s="81"/>
      <c r="I16" s="82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7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</row>
    <row r="17" spans="1:49" ht="75" x14ac:dyDescent="0.15">
      <c r="A17" s="146" t="s">
        <v>73</v>
      </c>
      <c r="B17" s="147" t="s">
        <v>80</v>
      </c>
      <c r="C17" s="141" t="s">
        <v>81</v>
      </c>
      <c r="D17" s="141" t="s">
        <v>82</v>
      </c>
      <c r="E17" s="141" t="s">
        <v>83</v>
      </c>
      <c r="F17" s="146" t="s">
        <v>84</v>
      </c>
      <c r="G17" s="147" t="s">
        <v>86</v>
      </c>
      <c r="H17" s="141" t="s">
        <v>96</v>
      </c>
      <c r="I17" s="141" t="s">
        <v>87</v>
      </c>
      <c r="J17" s="142" t="s">
        <v>61</v>
      </c>
      <c r="K17" s="143" t="s">
        <v>62</v>
      </c>
      <c r="L17" s="143" t="s">
        <v>63</v>
      </c>
      <c r="M17" s="143" t="s">
        <v>64</v>
      </c>
      <c r="N17" s="143" t="s">
        <v>65</v>
      </c>
      <c r="O17" s="149" t="s">
        <v>66</v>
      </c>
      <c r="P17" s="144" t="s">
        <v>67</v>
      </c>
      <c r="Q17" s="144" t="s">
        <v>25</v>
      </c>
      <c r="R17" s="144" t="s">
        <v>26</v>
      </c>
      <c r="S17" s="148" t="s">
        <v>68</v>
      </c>
      <c r="T17" s="148" t="s">
        <v>95</v>
      </c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</row>
    <row r="18" spans="1:49" ht="14" x14ac:dyDescent="0.15">
      <c r="A18" s="150" t="str">
        <f>'TAS Apr 2016'!K4</f>
        <v>Aurora Energy</v>
      </c>
      <c r="B18" s="159" t="str">
        <f>'TAS Apr 2016'!L4</f>
        <v>Regulated offer</v>
      </c>
      <c r="C18" s="124">
        <f>91*'TAS Apr 2016'!M4/100</f>
        <v>98.034300000000002</v>
      </c>
      <c r="D18" s="124">
        <f>IF(($C$13*$C$14)&gt;='TAS Apr 2016'!P4,('TAS Apr 2016'!P4*'TAS Apr 2016'!N4/100),(('TAS Bills April 2016'!$C$13*'TAS Bills April 2016'!$C$14)*'TAS Apr 2016'!N4/100))</f>
        <v>156.25</v>
      </c>
      <c r="E18" s="124">
        <v>0</v>
      </c>
      <c r="F18" s="125">
        <v>0</v>
      </c>
      <c r="G18" s="126">
        <f>IF($C$13*$C$14&lt;'TAS Apr 2016'!P4,(0),((('TAS Bills April 2016'!$C$13*'TAS Bills April 2016'!$C$14)-('TAS Apr 2016'!P4))*'TAS Apr 2016'!Q4/100))</f>
        <v>688.2</v>
      </c>
      <c r="H18" s="124">
        <f>($C$13*$C$15)*'TAS Apr 2016'!AF4/100</f>
        <v>157.05000000000001</v>
      </c>
      <c r="I18" s="128">
        <f>SUM(C18:H18)</f>
        <v>1099.5343</v>
      </c>
      <c r="J18" s="129">
        <f>I18*4</f>
        <v>4398.1372000000001</v>
      </c>
      <c r="K18" s="123">
        <v>0</v>
      </c>
      <c r="L18" s="123">
        <f>'TAS Apr 2016'!AZ4</f>
        <v>0</v>
      </c>
      <c r="M18" s="123">
        <f>'TAS Apr 2016'!BA4</f>
        <v>0</v>
      </c>
      <c r="N18" s="123">
        <f>'TAS Apr 2016'!BB4</f>
        <v>0</v>
      </c>
      <c r="O18" s="129">
        <f>J18</f>
        <v>4398.1372000000001</v>
      </c>
      <c r="P18" s="129">
        <f>O18-(O18*M18/100)</f>
        <v>4398.1372000000001</v>
      </c>
      <c r="Q18" s="129">
        <f>O18*1.1</f>
        <v>4837.9509200000002</v>
      </c>
      <c r="R18" s="129">
        <f>P18*1.1</f>
        <v>4837.9509200000002</v>
      </c>
      <c r="S18" s="151">
        <f>'TAS Apr 2016'!BI4</f>
        <v>0</v>
      </c>
      <c r="T18" s="152" t="str">
        <f>'TAS Apr 2016'!BJ4</f>
        <v>n</v>
      </c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</row>
    <row r="19" spans="1:49" ht="15" thickBot="1" x14ac:dyDescent="0.2">
      <c r="A19" s="153" t="str">
        <f>'TAS Apr 2016'!K5</f>
        <v>ERM Power</v>
      </c>
      <c r="B19" s="160" t="str">
        <f>'TAS Apr 2016'!L5</f>
        <v>Adjustable</v>
      </c>
      <c r="C19" s="133">
        <f>91*'TAS Apr 2016'!M5/100</f>
        <v>107.38</v>
      </c>
      <c r="D19" s="133">
        <f>(C13*C14)*'TAS Apr 2016'!N5/100</f>
        <v>827.4</v>
      </c>
      <c r="E19" s="133">
        <v>0</v>
      </c>
      <c r="F19" s="134">
        <v>0</v>
      </c>
      <c r="G19" s="135">
        <v>0</v>
      </c>
      <c r="H19" s="133">
        <f>($C$13*$C$15)*'TAS Apr 2016'!AF5/100</f>
        <v>161.25</v>
      </c>
      <c r="I19" s="137">
        <f>SUM(C19:H19)</f>
        <v>1096.03</v>
      </c>
      <c r="J19" s="138">
        <f t="shared" ref="J19" si="2">I19*4</f>
        <v>4384.12</v>
      </c>
      <c r="K19" s="132">
        <v>0</v>
      </c>
      <c r="L19" s="132">
        <f>'TAS Apr 2016'!AZ5</f>
        <v>0</v>
      </c>
      <c r="M19" s="132">
        <f>'TAS Apr 2016'!BA5</f>
        <v>0</v>
      </c>
      <c r="N19" s="132">
        <f>'TAS Apr 2016'!BB5</f>
        <v>0</v>
      </c>
      <c r="O19" s="138">
        <f>J19-((I19-C19)*L19/100)*4</f>
        <v>4384.12</v>
      </c>
      <c r="P19" s="138">
        <f>O19-(O19*M19/100)</f>
        <v>4384.12</v>
      </c>
      <c r="Q19" s="138">
        <f>O19*1.1</f>
        <v>4822.5320000000002</v>
      </c>
      <c r="R19" s="138">
        <f>P19*1.1</f>
        <v>4822.5320000000002</v>
      </c>
      <c r="S19" s="154">
        <f>'TAS Apr 2016'!BI5</f>
        <v>0</v>
      </c>
      <c r="T19" s="155" t="str">
        <f>'TAS Apr 2016'!BJ5</f>
        <v>n</v>
      </c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</row>
    <row r="20" spans="1:49" ht="14" x14ac:dyDescent="0.1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</row>
    <row r="21" spans="1:49" ht="15" thickBot="1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61"/>
      <c r="P21" s="58"/>
      <c r="Q21" s="61"/>
      <c r="R21" s="61"/>
      <c r="S21" s="61"/>
      <c r="T21" s="5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</row>
    <row r="22" spans="1:49" ht="14" x14ac:dyDescent="0.15">
      <c r="A22" s="62" t="s">
        <v>69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</row>
    <row r="23" spans="1:49" ht="14" x14ac:dyDescent="0.15">
      <c r="A23" s="66" t="s">
        <v>22</v>
      </c>
      <c r="B23" s="64"/>
      <c r="C23" s="85">
        <v>5000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7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</row>
    <row r="24" spans="1:49" ht="14" x14ac:dyDescent="0.15">
      <c r="A24" s="66" t="s">
        <v>23</v>
      </c>
      <c r="B24" s="64"/>
      <c r="C24" s="86">
        <v>0.3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7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</row>
    <row r="25" spans="1:49" ht="14" x14ac:dyDescent="0.15">
      <c r="A25" s="66" t="s">
        <v>24</v>
      </c>
      <c r="B25" s="64"/>
      <c r="C25" s="86">
        <v>0.4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7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</row>
    <row r="26" spans="1:49" ht="14" x14ac:dyDescent="0.15">
      <c r="A26" s="66" t="s">
        <v>21</v>
      </c>
      <c r="B26" s="64"/>
      <c r="C26" s="86">
        <v>0.3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7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</row>
    <row r="27" spans="1:49" ht="14" x14ac:dyDescent="0.15">
      <c r="A27" s="66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7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</row>
    <row r="28" spans="1:49" ht="75" x14ac:dyDescent="0.15">
      <c r="A28" s="146" t="s">
        <v>35</v>
      </c>
      <c r="B28" s="147" t="s">
        <v>36</v>
      </c>
      <c r="C28" s="141" t="s">
        <v>27</v>
      </c>
      <c r="D28" s="141" t="s">
        <v>153</v>
      </c>
      <c r="E28" s="141" t="s">
        <v>83</v>
      </c>
      <c r="F28" s="141" t="s">
        <v>154</v>
      </c>
      <c r="G28" s="141" t="s">
        <v>155</v>
      </c>
      <c r="H28" s="141" t="s">
        <v>156</v>
      </c>
      <c r="I28" s="141" t="s">
        <v>87</v>
      </c>
      <c r="J28" s="142" t="s">
        <v>157</v>
      </c>
      <c r="K28" s="143" t="s">
        <v>94</v>
      </c>
      <c r="L28" s="143" t="s">
        <v>123</v>
      </c>
      <c r="M28" s="143" t="s">
        <v>124</v>
      </c>
      <c r="N28" s="143" t="s">
        <v>125</v>
      </c>
      <c r="O28" s="144" t="s">
        <v>158</v>
      </c>
      <c r="P28" s="144" t="s">
        <v>159</v>
      </c>
      <c r="Q28" s="144" t="s">
        <v>25</v>
      </c>
      <c r="R28" s="144" t="s">
        <v>26</v>
      </c>
      <c r="S28" s="143" t="s">
        <v>55</v>
      </c>
      <c r="T28" s="148" t="s">
        <v>160</v>
      </c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</row>
    <row r="29" spans="1:49" ht="14" x14ac:dyDescent="0.15">
      <c r="A29" s="150" t="str">
        <f>'TAS Apr 2016'!K6</f>
        <v>Aurora Energy</v>
      </c>
      <c r="B29" s="159" t="str">
        <f>'TAS Apr 2016'!L6</f>
        <v>Regulated offer</v>
      </c>
      <c r="C29" s="124">
        <f>91*'TAS Apr 2016'!M6/100</f>
        <v>78.587600000000009</v>
      </c>
      <c r="D29" s="156">
        <f>($C$23*$C$24)*'TAS Apr 2016'!N6/100</f>
        <v>368.25</v>
      </c>
      <c r="E29" s="124">
        <v>0</v>
      </c>
      <c r="F29" s="124">
        <v>0</v>
      </c>
      <c r="G29" s="124">
        <f>($C$23*$C$25)*'TAS Apr 2016'!AI6/100</f>
        <v>340</v>
      </c>
      <c r="H29" s="124">
        <f>($C$23*$C$26)*'TAS Apr 2016'!W6/100</f>
        <v>135</v>
      </c>
      <c r="I29" s="128">
        <f>SUM(C29:H29)</f>
        <v>921.83760000000007</v>
      </c>
      <c r="J29" s="129">
        <f>I29*4</f>
        <v>3687.3504000000003</v>
      </c>
      <c r="K29" s="123">
        <v>0</v>
      </c>
      <c r="L29" s="123">
        <f>'TAS Apr 2016'!AZ6</f>
        <v>0</v>
      </c>
      <c r="M29" s="123">
        <f>'TAS Apr 2016'!BA6</f>
        <v>0</v>
      </c>
      <c r="N29" s="123">
        <f>'TAS Apr 2016'!BB6</f>
        <v>0</v>
      </c>
      <c r="O29" s="129">
        <f>J29</f>
        <v>3687.3504000000003</v>
      </c>
      <c r="P29" s="129">
        <f>O29-(O29*M29/100)</f>
        <v>3687.3504000000003</v>
      </c>
      <c r="Q29" s="129">
        <f>O29*1.1</f>
        <v>4056.0854400000007</v>
      </c>
      <c r="R29" s="129">
        <f>P29*1.1</f>
        <v>4056.0854400000007</v>
      </c>
      <c r="S29" s="151">
        <f>'TAS Apr 2016'!BI6</f>
        <v>0</v>
      </c>
      <c r="T29" s="152" t="str">
        <f>'TAS Apr 2016'!BJ6</f>
        <v>n</v>
      </c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</row>
    <row r="30" spans="1:49" ht="15" thickBot="1" x14ac:dyDescent="0.2">
      <c r="A30" s="153" t="str">
        <f>'TAS Apr 2016'!K7</f>
        <v>ERM Power</v>
      </c>
      <c r="B30" s="160" t="str">
        <f>'TAS Apr 2016'!L7</f>
        <v>Adjustable</v>
      </c>
      <c r="C30" s="133">
        <f>91*'TAS Apr 2016'!M7/100</f>
        <v>80.989999999999995</v>
      </c>
      <c r="D30" s="157">
        <f>($C$23*$C$24)*'TAS Apr 2016'!N7/100</f>
        <v>382.5</v>
      </c>
      <c r="E30" s="133">
        <v>0</v>
      </c>
      <c r="F30" s="133">
        <v>0</v>
      </c>
      <c r="G30" s="133">
        <f>($C$23*$C$25)*'TAS Apr 2016'!AI7/100</f>
        <v>317</v>
      </c>
      <c r="H30" s="133">
        <f>($C$23*$C$26)*'TAS Apr 2016'!W7/100</f>
        <v>109.8</v>
      </c>
      <c r="I30" s="137">
        <f>SUM(C30:H30)</f>
        <v>890.29</v>
      </c>
      <c r="J30" s="138">
        <f t="shared" ref="J30" si="3">I30*4</f>
        <v>3561.16</v>
      </c>
      <c r="K30" s="132">
        <v>0</v>
      </c>
      <c r="L30" s="132">
        <f>'TAS Apr 2016'!AZ7</f>
        <v>0</v>
      </c>
      <c r="M30" s="132">
        <f>'TAS Apr 2016'!BA7</f>
        <v>0</v>
      </c>
      <c r="N30" s="132">
        <f>'TAS Apr 2016'!BB7</f>
        <v>0</v>
      </c>
      <c r="O30" s="138">
        <f>J30-((I30-C30)*L30/100)*4</f>
        <v>3561.16</v>
      </c>
      <c r="P30" s="138">
        <f>O30-(O30*M30/100)</f>
        <v>3561.16</v>
      </c>
      <c r="Q30" s="138">
        <f>O30*1.1</f>
        <v>3917.2760000000003</v>
      </c>
      <c r="R30" s="138">
        <f>P30*1.1</f>
        <v>3917.2760000000003</v>
      </c>
      <c r="S30" s="154">
        <f>'TAS Apr 2016'!BI7</f>
        <v>0</v>
      </c>
      <c r="T30" s="155" t="str">
        <f>'TAS Apr 2016'!BJ7</f>
        <v>n</v>
      </c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</row>
    <row r="31" spans="1:49" ht="14" x14ac:dyDescent="0.1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</row>
    <row r="32" spans="1:49" ht="14" x14ac:dyDescent="0.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84"/>
      <c r="P32" s="84"/>
      <c r="Q32" s="84"/>
      <c r="R32" s="84"/>
      <c r="S32" s="84"/>
      <c r="T32" s="5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</row>
    <row r="33" spans="1:49" ht="14" x14ac:dyDescent="0.1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84"/>
      <c r="P33" s="84"/>
      <c r="Q33" s="84"/>
      <c r="R33" s="84"/>
      <c r="S33" s="84"/>
      <c r="T33" s="5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</row>
    <row r="34" spans="1:49" ht="14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84"/>
      <c r="P34" s="84"/>
      <c r="Q34" s="84"/>
      <c r="R34" s="84"/>
      <c r="S34" s="84"/>
      <c r="T34" s="5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</row>
    <row r="35" spans="1:49" ht="14" x14ac:dyDescent="0.1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84"/>
      <c r="P35" s="84"/>
      <c r="Q35" s="84"/>
      <c r="R35" s="84"/>
      <c r="S35" s="84"/>
      <c r="T35" s="5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</row>
    <row r="36" spans="1:49" ht="14" x14ac:dyDescent="0.1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84"/>
      <c r="P36" s="84"/>
      <c r="Q36" s="84"/>
      <c r="R36" s="84"/>
      <c r="S36" s="84"/>
      <c r="T36" s="5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</row>
    <row r="37" spans="1:49" ht="14" x14ac:dyDescent="0.1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84"/>
      <c r="P37" s="84"/>
      <c r="Q37" s="84"/>
      <c r="R37" s="84"/>
      <c r="S37" s="84"/>
      <c r="T37" s="5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</row>
    <row r="38" spans="1:49" ht="14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84"/>
      <c r="P38" s="84"/>
      <c r="Q38" s="84"/>
      <c r="R38" s="84"/>
      <c r="S38" s="84"/>
      <c r="T38" s="5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</row>
    <row r="39" spans="1:49" ht="14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84"/>
      <c r="P39" s="84"/>
      <c r="Q39" s="84"/>
      <c r="R39" s="84"/>
      <c r="S39" s="84"/>
      <c r="T39" s="5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</row>
    <row r="40" spans="1:49" ht="14" x14ac:dyDescent="0.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84"/>
      <c r="P40" s="84"/>
      <c r="Q40" s="84"/>
      <c r="R40" s="84"/>
      <c r="S40" s="84"/>
      <c r="T40" s="5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</row>
    <row r="41" spans="1:49" ht="14" x14ac:dyDescent="0.1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84"/>
      <c r="P41" s="84"/>
      <c r="Q41" s="84"/>
      <c r="R41" s="84"/>
      <c r="S41" s="84"/>
      <c r="T41" s="5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</row>
    <row r="42" spans="1:49" ht="14" x14ac:dyDescent="0.1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84"/>
      <c r="P42" s="84"/>
      <c r="Q42" s="84"/>
      <c r="R42" s="84"/>
      <c r="S42" s="84"/>
      <c r="T42" s="5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</row>
    <row r="43" spans="1:49" ht="14" x14ac:dyDescent="0.1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84"/>
      <c r="P43" s="84"/>
      <c r="Q43" s="84"/>
      <c r="R43" s="84"/>
      <c r="S43" s="84"/>
      <c r="T43" s="5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</row>
    <row r="44" spans="1:49" ht="14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84"/>
      <c r="P44" s="84"/>
      <c r="Q44" s="84"/>
      <c r="R44" s="84"/>
      <c r="S44" s="84"/>
      <c r="T44" s="5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</row>
    <row r="45" spans="1:49" ht="14" x14ac:dyDescent="0.1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84"/>
      <c r="P45" s="84"/>
      <c r="Q45" s="84"/>
      <c r="R45" s="84"/>
      <c r="S45" s="84"/>
      <c r="T45" s="5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</row>
    <row r="46" spans="1:49" ht="14" x14ac:dyDescent="0.1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84"/>
      <c r="P46" s="84"/>
      <c r="Q46" s="84"/>
      <c r="R46" s="84"/>
      <c r="S46" s="84"/>
      <c r="T46" s="5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</row>
    <row r="47" spans="1:49" ht="1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84"/>
      <c r="P47" s="84"/>
      <c r="Q47" s="84"/>
      <c r="R47" s="84"/>
      <c r="S47" s="84"/>
      <c r="T47" s="5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</row>
    <row r="48" spans="1:49" ht="14" x14ac:dyDescent="0.1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84"/>
      <c r="P48" s="84"/>
      <c r="Q48" s="84"/>
      <c r="R48" s="84"/>
      <c r="S48" s="84"/>
      <c r="T48" s="5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</row>
    <row r="49" spans="1:49" ht="14" x14ac:dyDescent="0.1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84"/>
      <c r="P49" s="84"/>
      <c r="Q49" s="84"/>
      <c r="R49" s="84"/>
      <c r="S49" s="84"/>
      <c r="T49" s="5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</row>
    <row r="50" spans="1:49" ht="14" x14ac:dyDescent="0.1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84"/>
      <c r="P50" s="84"/>
      <c r="Q50" s="84"/>
      <c r="R50" s="84"/>
      <c r="S50" s="84"/>
      <c r="T50" s="5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</row>
    <row r="51" spans="1:49" ht="14" x14ac:dyDescent="0.1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84"/>
      <c r="P51" s="84"/>
      <c r="Q51" s="84"/>
      <c r="R51" s="84"/>
      <c r="S51" s="84"/>
      <c r="T51" s="5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</row>
    <row r="52" spans="1:49" ht="14" x14ac:dyDescent="0.1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84"/>
      <c r="P52" s="84"/>
      <c r="Q52" s="84"/>
      <c r="R52" s="84"/>
      <c r="S52" s="84"/>
      <c r="T52" s="5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</row>
    <row r="53" spans="1:49" ht="14" x14ac:dyDescent="0.1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84"/>
      <c r="P53" s="84"/>
      <c r="Q53" s="84"/>
      <c r="R53" s="84"/>
      <c r="S53" s="84"/>
      <c r="T53" s="5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</row>
    <row r="54" spans="1:49" ht="14" x14ac:dyDescent="0.1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84"/>
      <c r="P54" s="84"/>
      <c r="Q54" s="84"/>
      <c r="R54" s="84"/>
      <c r="S54" s="84"/>
      <c r="T54" s="5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</row>
    <row r="55" spans="1:49" ht="14" x14ac:dyDescent="0.1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84"/>
      <c r="P55" s="84"/>
      <c r="Q55" s="84"/>
      <c r="R55" s="84"/>
      <c r="S55" s="84"/>
      <c r="T55" s="5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</row>
    <row r="56" spans="1:49" ht="14" x14ac:dyDescent="0.1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84"/>
      <c r="P56" s="84"/>
      <c r="Q56" s="84"/>
      <c r="R56" s="84"/>
      <c r="S56" s="84"/>
      <c r="T56" s="5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</row>
    <row r="57" spans="1:49" ht="14" x14ac:dyDescent="0.1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84"/>
      <c r="P57" s="84"/>
      <c r="Q57" s="84"/>
      <c r="R57" s="84"/>
      <c r="S57" s="84"/>
      <c r="T57" s="5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</row>
    <row r="58" spans="1:49" ht="14" x14ac:dyDescent="0.1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84"/>
      <c r="P58" s="84"/>
      <c r="Q58" s="84"/>
      <c r="R58" s="84"/>
      <c r="S58" s="84"/>
      <c r="T58" s="5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</row>
    <row r="59" spans="1:49" ht="14" x14ac:dyDescent="0.1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84"/>
      <c r="P59" s="84"/>
      <c r="Q59" s="84"/>
      <c r="R59" s="84"/>
      <c r="S59" s="84"/>
      <c r="T59" s="5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</row>
    <row r="60" spans="1:49" ht="14" x14ac:dyDescent="0.1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84"/>
      <c r="P60" s="84"/>
      <c r="Q60" s="84"/>
      <c r="R60" s="84"/>
      <c r="S60" s="84"/>
      <c r="T60" s="5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</row>
    <row r="61" spans="1:49" ht="14" x14ac:dyDescent="0.1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84"/>
      <c r="P61" s="84"/>
      <c r="Q61" s="84"/>
      <c r="R61" s="84"/>
      <c r="S61" s="84"/>
      <c r="T61" s="5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</row>
    <row r="62" spans="1:49" ht="14" x14ac:dyDescent="0.1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84"/>
      <c r="P62" s="84"/>
      <c r="Q62" s="84"/>
      <c r="R62" s="84"/>
      <c r="S62" s="84"/>
      <c r="T62" s="5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</row>
    <row r="63" spans="1:49" ht="14" x14ac:dyDescent="0.1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84"/>
      <c r="P63" s="84"/>
      <c r="Q63" s="84"/>
      <c r="R63" s="84"/>
      <c r="S63" s="84"/>
      <c r="T63" s="5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</row>
    <row r="64" spans="1:49" ht="14" x14ac:dyDescent="0.1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84"/>
      <c r="P64" s="84"/>
      <c r="Q64" s="84"/>
      <c r="R64" s="84"/>
      <c r="S64" s="84"/>
      <c r="T64" s="5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</row>
    <row r="65" spans="1:49" ht="14" x14ac:dyDescent="0.1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84"/>
      <c r="P65" s="84"/>
      <c r="Q65" s="84"/>
      <c r="R65" s="84"/>
      <c r="S65" s="84"/>
      <c r="T65" s="5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</row>
    <row r="66" spans="1:49" ht="14" x14ac:dyDescent="0.1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84"/>
      <c r="P66" s="84"/>
      <c r="Q66" s="84"/>
      <c r="R66" s="84"/>
      <c r="S66" s="84"/>
      <c r="T66" s="5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</row>
    <row r="67" spans="1:49" ht="14" x14ac:dyDescent="0.1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84"/>
      <c r="P67" s="84"/>
      <c r="Q67" s="84"/>
      <c r="R67" s="84"/>
      <c r="S67" s="84"/>
      <c r="T67" s="5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</row>
    <row r="68" spans="1:49" ht="14" x14ac:dyDescent="0.1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84"/>
      <c r="P68" s="84"/>
      <c r="Q68" s="84"/>
      <c r="R68" s="84"/>
      <c r="S68" s="84"/>
      <c r="T68" s="5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</row>
    <row r="69" spans="1:49" ht="14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84"/>
      <c r="P69" s="84"/>
      <c r="Q69" s="84"/>
      <c r="R69" s="84"/>
      <c r="S69" s="84"/>
      <c r="T69" s="5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</row>
    <row r="70" spans="1:49" ht="14" x14ac:dyDescent="0.1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84"/>
      <c r="P70" s="84"/>
      <c r="Q70" s="84"/>
      <c r="R70" s="84"/>
      <c r="S70" s="84"/>
      <c r="T70" s="5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</row>
    <row r="71" spans="1:49" ht="14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84"/>
      <c r="P71" s="84"/>
      <c r="Q71" s="84"/>
      <c r="R71" s="84"/>
      <c r="S71" s="84"/>
      <c r="T71" s="5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</row>
    <row r="72" spans="1:49" ht="14" x14ac:dyDescent="0.1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84"/>
      <c r="P72" s="84"/>
      <c r="Q72" s="84"/>
      <c r="R72" s="84"/>
      <c r="S72" s="84"/>
      <c r="T72" s="5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</row>
    <row r="73" spans="1:49" ht="14" x14ac:dyDescent="0.1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84"/>
      <c r="P73" s="84"/>
      <c r="Q73" s="84"/>
      <c r="R73" s="84"/>
      <c r="S73" s="84"/>
      <c r="T73" s="5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</row>
    <row r="74" spans="1:49" ht="14" x14ac:dyDescent="0.1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84"/>
      <c r="P74" s="84"/>
      <c r="Q74" s="84"/>
      <c r="R74" s="84"/>
      <c r="S74" s="84"/>
      <c r="T74" s="5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</row>
  </sheetData>
  <sheetProtection algorithmName="SHA-512" hashValue="SFSBGFAhTioZhRvEG6AvSw3k0fz6J2l3tV0ACy4cjfadTjY+iiKEKxi7eWA/EQLErzI8GCloEDh/IyKbdPdThw==" saltValue="ltHFaOsynRYWxhuCvI0+Ug==" spinCount="100000" sheet="1" objects="1" scenarios="1"/>
  <phoneticPr fontId="2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02E29-FE79-0246-98DB-8D8CB0E5DBE1}">
  <sheetPr codeName="Sheet13"/>
  <dimension ref="A1:BT4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49" width="7.83203125" customWidth="1"/>
    <col min="50" max="50" width="10.1640625" customWidth="1"/>
    <col min="68" max="68" width="38.6640625" customWidth="1"/>
    <col min="69" max="69" width="11.5" customWidth="1"/>
    <col min="70" max="71" width="11.33203125" customWidth="1"/>
    <col min="72" max="72" width="29.5" customWidth="1"/>
  </cols>
  <sheetData>
    <row r="1" spans="1:72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111</v>
      </c>
      <c r="AO1" s="18" t="s">
        <v>112</v>
      </c>
      <c r="AP1" s="18" t="s">
        <v>113</v>
      </c>
      <c r="AQ1" s="19" t="s">
        <v>114</v>
      </c>
      <c r="AR1" s="20" t="s">
        <v>115</v>
      </c>
      <c r="AS1" s="20" t="s">
        <v>88</v>
      </c>
      <c r="AT1" s="21" t="s">
        <v>89</v>
      </c>
      <c r="AU1" s="22" t="s">
        <v>90</v>
      </c>
      <c r="AV1" s="23" t="s">
        <v>91</v>
      </c>
      <c r="AW1" s="24" t="s">
        <v>92</v>
      </c>
      <c r="AX1" s="25" t="s">
        <v>93</v>
      </c>
      <c r="AY1" s="26" t="s">
        <v>94</v>
      </c>
      <c r="AZ1" s="27" t="s">
        <v>123</v>
      </c>
      <c r="BA1" s="28" t="s">
        <v>124</v>
      </c>
      <c r="BB1" s="27" t="s">
        <v>125</v>
      </c>
      <c r="BC1" s="28" t="s">
        <v>135</v>
      </c>
      <c r="BD1" s="29" t="s">
        <v>136</v>
      </c>
      <c r="BE1" s="26" t="s">
        <v>137</v>
      </c>
      <c r="BF1" s="30" t="s">
        <v>138</v>
      </c>
      <c r="BG1" s="26" t="s">
        <v>139</v>
      </c>
      <c r="BH1" s="30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8"/>
      <c r="BO1" s="8"/>
      <c r="BP1" s="31" t="s">
        <v>12</v>
      </c>
      <c r="BQ1" s="31" t="s">
        <v>60</v>
      </c>
      <c r="BR1" s="32" t="s">
        <v>53</v>
      </c>
      <c r="BS1" s="32" t="s">
        <v>8</v>
      </c>
      <c r="BT1" s="31" t="s">
        <v>11</v>
      </c>
    </row>
    <row r="2" spans="1:72" x14ac:dyDescent="0.15">
      <c r="A2" s="54">
        <v>1930</v>
      </c>
      <c r="B2" s="36">
        <v>41927</v>
      </c>
      <c r="C2" s="1" t="s">
        <v>186</v>
      </c>
      <c r="D2" s="2" t="s">
        <v>201</v>
      </c>
      <c r="E2" s="2"/>
      <c r="F2" s="2" t="s">
        <v>187</v>
      </c>
      <c r="G2" s="3">
        <v>41820</v>
      </c>
      <c r="H2" s="4" t="s">
        <v>188</v>
      </c>
      <c r="I2" s="4" t="s">
        <v>189</v>
      </c>
      <c r="J2" s="4"/>
      <c r="K2" s="55" t="s">
        <v>190</v>
      </c>
      <c r="L2" s="2" t="s">
        <v>191</v>
      </c>
      <c r="M2" s="2">
        <v>92.66</v>
      </c>
      <c r="N2" s="2">
        <v>30.785</v>
      </c>
      <c r="O2" s="2" t="s">
        <v>130</v>
      </c>
      <c r="P2" s="2">
        <v>500</v>
      </c>
      <c r="Q2" s="2">
        <v>22.774000000000001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5"/>
      <c r="AN2" s="55"/>
      <c r="AO2" s="55"/>
      <c r="AP2" s="55"/>
      <c r="AQ2" s="55" t="s">
        <v>192</v>
      </c>
      <c r="AR2" s="56" t="s">
        <v>189</v>
      </c>
      <c r="AT2" s="56"/>
      <c r="AU2" s="4" t="s">
        <v>193</v>
      </c>
      <c r="AV2" s="4">
        <v>8.5410000000000004</v>
      </c>
      <c r="AW2" s="56" t="s">
        <v>194</v>
      </c>
      <c r="AX2" s="55"/>
      <c r="AY2" s="56">
        <v>0</v>
      </c>
      <c r="AZ2" s="56">
        <v>0</v>
      </c>
      <c r="BA2" s="4">
        <v>0</v>
      </c>
      <c r="BB2" s="56">
        <v>0</v>
      </c>
      <c r="BC2" s="56">
        <v>0</v>
      </c>
      <c r="BD2" s="56">
        <v>0</v>
      </c>
      <c r="BE2" s="56">
        <v>0</v>
      </c>
      <c r="BF2" s="56">
        <v>0</v>
      </c>
      <c r="BG2" s="4">
        <v>0</v>
      </c>
      <c r="BH2" s="4">
        <v>0</v>
      </c>
      <c r="BI2" s="56"/>
      <c r="BJ2" s="56" t="s">
        <v>189</v>
      </c>
      <c r="BK2" s="4"/>
      <c r="BL2" s="4" t="s">
        <v>188</v>
      </c>
      <c r="BM2" s="4"/>
      <c r="BN2" s="4"/>
      <c r="BO2" s="4"/>
      <c r="BP2" s="2" t="s">
        <v>172</v>
      </c>
      <c r="BQ2" s="57" t="s">
        <v>173</v>
      </c>
      <c r="BR2" s="4">
        <v>18.25</v>
      </c>
      <c r="BS2" s="56" t="s">
        <v>189</v>
      </c>
      <c r="BT2" s="55"/>
    </row>
    <row r="3" spans="1:72" x14ac:dyDescent="0.15">
      <c r="A3" s="54">
        <v>1928</v>
      </c>
      <c r="B3" s="36">
        <v>41927</v>
      </c>
      <c r="C3" s="1" t="s">
        <v>186</v>
      </c>
      <c r="D3" s="2" t="s">
        <v>201</v>
      </c>
      <c r="E3" s="2"/>
      <c r="F3" s="2" t="s">
        <v>195</v>
      </c>
      <c r="G3" s="3">
        <v>41820</v>
      </c>
      <c r="H3" s="4" t="s">
        <v>188</v>
      </c>
      <c r="I3" s="4" t="s">
        <v>189</v>
      </c>
      <c r="J3" s="4"/>
      <c r="K3" s="55" t="s">
        <v>190</v>
      </c>
      <c r="L3" s="2" t="s">
        <v>191</v>
      </c>
      <c r="M3" s="2">
        <v>109.27200000000001</v>
      </c>
      <c r="N3" s="2">
        <v>30.785</v>
      </c>
      <c r="O3" s="2" t="s">
        <v>130</v>
      </c>
      <c r="P3" s="2">
        <v>500</v>
      </c>
      <c r="Q3" s="2">
        <v>22.774000000000001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>
        <v>14.583</v>
      </c>
      <c r="AG3" s="2"/>
      <c r="AH3" s="2"/>
      <c r="AI3" s="2"/>
      <c r="AJ3" s="2"/>
      <c r="AK3" s="2"/>
      <c r="AL3" s="2"/>
      <c r="AM3" s="55"/>
      <c r="AN3" s="55"/>
      <c r="AO3" s="55"/>
      <c r="AP3" s="55"/>
      <c r="AQ3" s="55" t="s">
        <v>196</v>
      </c>
      <c r="AR3" s="56" t="s">
        <v>189</v>
      </c>
      <c r="AT3" s="56"/>
      <c r="AU3" s="4" t="s">
        <v>193</v>
      </c>
      <c r="AV3" s="4">
        <v>8.5410000000000004</v>
      </c>
      <c r="AW3" s="56" t="s">
        <v>194</v>
      </c>
      <c r="AX3" s="55"/>
      <c r="AY3" s="56">
        <v>0</v>
      </c>
      <c r="AZ3" s="56">
        <v>0</v>
      </c>
      <c r="BA3" s="4">
        <v>0</v>
      </c>
      <c r="BB3" s="56">
        <v>0</v>
      </c>
      <c r="BC3" s="56">
        <v>0</v>
      </c>
      <c r="BD3" s="56">
        <v>0</v>
      </c>
      <c r="BE3" s="56">
        <v>0</v>
      </c>
      <c r="BF3" s="56">
        <v>0</v>
      </c>
      <c r="BG3" s="4">
        <v>0</v>
      </c>
      <c r="BH3" s="4">
        <v>0</v>
      </c>
      <c r="BI3" s="56"/>
      <c r="BJ3" s="56" t="s">
        <v>189</v>
      </c>
      <c r="BK3" s="4"/>
      <c r="BL3" s="4" t="s">
        <v>188</v>
      </c>
      <c r="BM3" s="4"/>
      <c r="BN3" s="4"/>
      <c r="BO3" s="4"/>
      <c r="BP3" s="2" t="s">
        <v>172</v>
      </c>
      <c r="BQ3" s="57" t="s">
        <v>173</v>
      </c>
      <c r="BR3" s="4">
        <v>18.25</v>
      </c>
      <c r="BS3" s="56" t="s">
        <v>189</v>
      </c>
      <c r="BT3" s="55"/>
    </row>
    <row r="4" spans="1:72" x14ac:dyDescent="0.15">
      <c r="A4" s="54">
        <v>1931</v>
      </c>
      <c r="B4" s="36">
        <v>41927</v>
      </c>
      <c r="C4" s="1" t="s">
        <v>186</v>
      </c>
      <c r="D4" s="2" t="s">
        <v>201</v>
      </c>
      <c r="E4" s="2"/>
      <c r="F4" s="2" t="s">
        <v>197</v>
      </c>
      <c r="G4" s="3">
        <v>41820</v>
      </c>
      <c r="H4" s="4" t="s">
        <v>188</v>
      </c>
      <c r="I4" s="4" t="s">
        <v>189</v>
      </c>
      <c r="J4" s="4"/>
      <c r="K4" s="55" t="s">
        <v>190</v>
      </c>
      <c r="L4" s="2" t="s">
        <v>191</v>
      </c>
      <c r="M4" s="2">
        <v>100.37</v>
      </c>
      <c r="N4" s="2">
        <v>25.332999999999998</v>
      </c>
      <c r="O4" s="2"/>
      <c r="P4" s="2"/>
      <c r="Q4" s="2"/>
      <c r="R4" s="2"/>
      <c r="S4" s="2"/>
      <c r="T4" s="2"/>
      <c r="U4" s="2"/>
      <c r="V4" s="2"/>
      <c r="W4" s="2">
        <v>10.71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v>18.309999999999999</v>
      </c>
      <c r="AJ4" s="2"/>
      <c r="AK4" s="2"/>
      <c r="AL4" s="2"/>
      <c r="AM4" s="55"/>
      <c r="AN4" s="55"/>
      <c r="AO4" s="55"/>
      <c r="AP4" s="55"/>
      <c r="AQ4" s="55" t="s">
        <v>198</v>
      </c>
      <c r="AR4" s="56" t="s">
        <v>189</v>
      </c>
      <c r="AT4" s="56"/>
      <c r="AU4" s="4" t="s">
        <v>193</v>
      </c>
      <c r="AV4" s="4">
        <v>8.5410000000000004</v>
      </c>
      <c r="AW4" s="56" t="s">
        <v>194</v>
      </c>
      <c r="AX4" s="55"/>
      <c r="AY4" s="56">
        <v>0</v>
      </c>
      <c r="AZ4" s="56">
        <v>0</v>
      </c>
      <c r="BA4" s="56">
        <v>0</v>
      </c>
      <c r="BB4" s="56">
        <v>0</v>
      </c>
      <c r="BC4" s="56">
        <v>0</v>
      </c>
      <c r="BD4" s="56">
        <v>0</v>
      </c>
      <c r="BE4" s="56">
        <v>0</v>
      </c>
      <c r="BF4" s="56">
        <v>0</v>
      </c>
      <c r="BG4" s="4">
        <v>0</v>
      </c>
      <c r="BH4" s="4">
        <v>0</v>
      </c>
      <c r="BI4" s="56"/>
      <c r="BJ4" s="56" t="s">
        <v>189</v>
      </c>
      <c r="BK4" s="4"/>
      <c r="BL4" s="4" t="s">
        <v>189</v>
      </c>
      <c r="BM4" s="4"/>
      <c r="BN4" s="4"/>
      <c r="BO4" s="4"/>
      <c r="BP4" s="2" t="s">
        <v>172</v>
      </c>
      <c r="BQ4" s="57" t="s">
        <v>173</v>
      </c>
      <c r="BR4" s="4">
        <v>18.25</v>
      </c>
      <c r="BS4" s="56" t="s">
        <v>189</v>
      </c>
      <c r="BT4" s="55"/>
    </row>
  </sheetData>
  <sheetProtection algorithmName="SHA-512" hashValue="tgHwvqBfJmvNHxiQWjqJvk+q7d3xjihO/1I3Jt37XTvLVQ2CZDNlj1kJmdmQT/rAm/i02h2R5HR2fa7QrlQSbg==" saltValue="hbGXUGo+GLQeiJWdid7REw==" spinCount="100000" sheet="1" objects="1" scenarios="1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CCEB9-7FD9-3D45-B211-C14D2C8F59F5}">
  <sheetPr codeName="Sheet14"/>
  <dimension ref="A1:BT7"/>
  <sheetViews>
    <sheetView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8" max="68" width="38.6640625" customWidth="1"/>
    <col min="69" max="69" width="11.5" customWidth="1"/>
    <col min="70" max="71" width="11.33203125" customWidth="1"/>
    <col min="72" max="72" width="29.5" customWidth="1"/>
  </cols>
  <sheetData>
    <row r="1" spans="1:72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111</v>
      </c>
      <c r="AO1" s="18" t="s">
        <v>112</v>
      </c>
      <c r="AP1" s="18" t="s">
        <v>113</v>
      </c>
      <c r="AQ1" s="19" t="s">
        <v>114</v>
      </c>
      <c r="AR1" s="20" t="s">
        <v>115</v>
      </c>
      <c r="AS1" s="20" t="s">
        <v>88</v>
      </c>
      <c r="AT1" s="21" t="s">
        <v>89</v>
      </c>
      <c r="AU1" s="22" t="s">
        <v>90</v>
      </c>
      <c r="AV1" s="23" t="s">
        <v>91</v>
      </c>
      <c r="AW1" s="24" t="s">
        <v>92</v>
      </c>
      <c r="AX1" s="25" t="s">
        <v>93</v>
      </c>
      <c r="AY1" s="26" t="s">
        <v>94</v>
      </c>
      <c r="AZ1" s="27" t="s">
        <v>123</v>
      </c>
      <c r="BA1" s="28" t="s">
        <v>124</v>
      </c>
      <c r="BB1" s="27" t="s">
        <v>125</v>
      </c>
      <c r="BC1" s="28" t="s">
        <v>135</v>
      </c>
      <c r="BD1" s="29" t="s">
        <v>136</v>
      </c>
      <c r="BE1" s="26" t="s">
        <v>137</v>
      </c>
      <c r="BF1" s="30" t="s">
        <v>138</v>
      </c>
      <c r="BG1" s="26" t="s">
        <v>139</v>
      </c>
      <c r="BH1" s="30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8"/>
      <c r="BO1" s="8"/>
      <c r="BP1" s="31" t="s">
        <v>12</v>
      </c>
      <c r="BQ1" s="31" t="s">
        <v>60</v>
      </c>
      <c r="BR1" s="32" t="s">
        <v>53</v>
      </c>
      <c r="BS1" s="32" t="s">
        <v>8</v>
      </c>
      <c r="BT1" s="31" t="s">
        <v>11</v>
      </c>
    </row>
    <row r="2" spans="1:72" x14ac:dyDescent="0.15">
      <c r="A2" s="54">
        <v>1930</v>
      </c>
      <c r="B2" s="36">
        <v>41741</v>
      </c>
      <c r="C2" s="1" t="s">
        <v>186</v>
      </c>
      <c r="D2" s="2" t="s">
        <v>179</v>
      </c>
      <c r="E2" s="2"/>
      <c r="F2" s="2" t="s">
        <v>187</v>
      </c>
      <c r="G2" s="3">
        <v>41458</v>
      </c>
      <c r="H2" s="4" t="s">
        <v>188</v>
      </c>
      <c r="I2" s="4" t="s">
        <v>189</v>
      </c>
      <c r="J2" s="4"/>
      <c r="K2" s="55" t="s">
        <v>190</v>
      </c>
      <c r="L2" s="2" t="s">
        <v>191</v>
      </c>
      <c r="M2" s="2">
        <v>90.801000000000002</v>
      </c>
      <c r="N2" s="2">
        <v>30.167000000000002</v>
      </c>
      <c r="O2" s="2" t="s">
        <v>130</v>
      </c>
      <c r="P2" s="2">
        <v>500</v>
      </c>
      <c r="Q2" s="2">
        <v>22.317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5"/>
      <c r="AN2" s="55"/>
      <c r="AO2" s="55"/>
      <c r="AP2" s="55"/>
      <c r="AQ2" s="55" t="s">
        <v>192</v>
      </c>
      <c r="AR2" s="56" t="s">
        <v>189</v>
      </c>
      <c r="AS2" s="56"/>
      <c r="AT2" s="56"/>
      <c r="AU2" s="4" t="s">
        <v>193</v>
      </c>
      <c r="AV2" s="4">
        <v>8.9290000000000003</v>
      </c>
      <c r="AW2" s="56" t="s">
        <v>194</v>
      </c>
      <c r="AX2" s="55"/>
      <c r="AY2" s="56">
        <v>0</v>
      </c>
      <c r="AZ2" s="56">
        <v>0</v>
      </c>
      <c r="BA2" s="4">
        <v>0</v>
      </c>
      <c r="BB2" s="56">
        <v>0</v>
      </c>
      <c r="BC2" s="56">
        <v>0</v>
      </c>
      <c r="BD2" s="56">
        <v>0</v>
      </c>
      <c r="BE2" s="56">
        <v>0</v>
      </c>
      <c r="BF2" s="56">
        <v>0</v>
      </c>
      <c r="BG2" s="4">
        <v>0</v>
      </c>
      <c r="BH2" s="4">
        <v>0</v>
      </c>
      <c r="BI2" s="56"/>
      <c r="BJ2" s="56" t="s">
        <v>189</v>
      </c>
      <c r="BK2" s="4"/>
      <c r="BL2" s="4" t="s">
        <v>188</v>
      </c>
      <c r="BM2" s="4"/>
      <c r="BN2" s="4"/>
      <c r="BO2" s="4"/>
      <c r="BP2" s="2" t="s">
        <v>172</v>
      </c>
      <c r="BQ2" s="57" t="s">
        <v>173</v>
      </c>
      <c r="BR2" s="4">
        <v>18.25</v>
      </c>
      <c r="BS2" s="56" t="s">
        <v>189</v>
      </c>
      <c r="BT2" s="55"/>
    </row>
    <row r="3" spans="1:72" x14ac:dyDescent="0.15">
      <c r="A3" s="54">
        <v>711</v>
      </c>
      <c r="B3" s="36">
        <v>41741</v>
      </c>
      <c r="C3" s="1" t="s">
        <v>186</v>
      </c>
      <c r="D3" s="2" t="s">
        <v>179</v>
      </c>
      <c r="E3" s="2"/>
      <c r="F3" s="2" t="s">
        <v>187</v>
      </c>
      <c r="G3" s="3">
        <v>41678</v>
      </c>
      <c r="H3" s="4" t="s">
        <v>188</v>
      </c>
      <c r="I3" s="4" t="s">
        <v>189</v>
      </c>
      <c r="J3" s="4"/>
      <c r="K3" s="2" t="s">
        <v>199</v>
      </c>
      <c r="L3" s="55" t="s">
        <v>200</v>
      </c>
      <c r="M3" s="2">
        <v>108</v>
      </c>
      <c r="N3" s="2">
        <v>23.24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5"/>
      <c r="AN3" s="55"/>
      <c r="AO3" s="55"/>
      <c r="AP3" s="55"/>
      <c r="AQ3" s="55" t="s">
        <v>192</v>
      </c>
      <c r="AR3" s="56" t="s">
        <v>189</v>
      </c>
      <c r="AS3" s="56"/>
      <c r="AT3" s="56"/>
      <c r="AU3" s="4" t="s">
        <v>193</v>
      </c>
      <c r="AV3" s="4">
        <v>8.9290000000000003</v>
      </c>
      <c r="AW3" s="4" t="s">
        <v>189</v>
      </c>
      <c r="AX3" s="55"/>
      <c r="AY3" s="56">
        <v>0</v>
      </c>
      <c r="AZ3" s="56">
        <v>0</v>
      </c>
      <c r="BA3" s="56">
        <v>0</v>
      </c>
      <c r="BB3" s="56">
        <v>0</v>
      </c>
      <c r="BC3" s="56">
        <v>0</v>
      </c>
      <c r="BD3" s="56">
        <v>0</v>
      </c>
      <c r="BE3" s="56">
        <v>0</v>
      </c>
      <c r="BF3" s="56">
        <v>0</v>
      </c>
      <c r="BG3" s="4">
        <v>0</v>
      </c>
      <c r="BH3" s="4">
        <v>0</v>
      </c>
      <c r="BI3" s="56"/>
      <c r="BJ3" s="56" t="s">
        <v>189</v>
      </c>
      <c r="BK3" s="4"/>
      <c r="BL3" s="4" t="s">
        <v>189</v>
      </c>
      <c r="BM3" s="4"/>
      <c r="BN3" s="4"/>
      <c r="BO3" s="4"/>
      <c r="BP3" s="2"/>
      <c r="BQ3" s="2"/>
      <c r="BR3" s="4"/>
      <c r="BS3" s="56" t="s">
        <v>189</v>
      </c>
      <c r="BT3" s="2"/>
    </row>
    <row r="4" spans="1:72" x14ac:dyDescent="0.15">
      <c r="A4" s="54">
        <v>1928</v>
      </c>
      <c r="B4" s="36">
        <v>41741</v>
      </c>
      <c r="C4" s="1" t="s">
        <v>186</v>
      </c>
      <c r="D4" s="2" t="s">
        <v>179</v>
      </c>
      <c r="E4" s="2"/>
      <c r="F4" s="2" t="s">
        <v>195</v>
      </c>
      <c r="G4" s="3">
        <v>41458</v>
      </c>
      <c r="H4" s="4" t="s">
        <v>188</v>
      </c>
      <c r="I4" s="4" t="s">
        <v>189</v>
      </c>
      <c r="J4" s="4"/>
      <c r="K4" s="55" t="s">
        <v>190</v>
      </c>
      <c r="L4" s="2" t="s">
        <v>191</v>
      </c>
      <c r="M4" s="2">
        <v>107.08</v>
      </c>
      <c r="N4" s="2">
        <v>30.167000000000002</v>
      </c>
      <c r="O4" s="2" t="s">
        <v>130</v>
      </c>
      <c r="P4" s="2">
        <v>500</v>
      </c>
      <c r="Q4" s="2">
        <v>22.317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55"/>
      <c r="AN4" s="55"/>
      <c r="AO4" s="55"/>
      <c r="AP4" s="55"/>
      <c r="AQ4" s="55" t="s">
        <v>196</v>
      </c>
      <c r="AR4" s="56" t="s">
        <v>189</v>
      </c>
      <c r="AS4" s="56"/>
      <c r="AT4" s="56"/>
      <c r="AU4" s="4" t="s">
        <v>193</v>
      </c>
      <c r="AV4" s="4">
        <v>8.9290000000000003</v>
      </c>
      <c r="AW4" s="56" t="s">
        <v>194</v>
      </c>
      <c r="AX4" s="55"/>
      <c r="AY4" s="56">
        <v>0</v>
      </c>
      <c r="AZ4" s="56">
        <v>0</v>
      </c>
      <c r="BA4" s="4">
        <v>0</v>
      </c>
      <c r="BB4" s="56">
        <v>0</v>
      </c>
      <c r="BC4" s="56">
        <v>0</v>
      </c>
      <c r="BD4" s="56">
        <v>0</v>
      </c>
      <c r="BE4" s="56">
        <v>0</v>
      </c>
      <c r="BF4" s="56">
        <v>0</v>
      </c>
      <c r="BG4" s="4">
        <v>0</v>
      </c>
      <c r="BH4" s="4">
        <v>0</v>
      </c>
      <c r="BI4" s="56"/>
      <c r="BJ4" s="56" t="s">
        <v>189</v>
      </c>
      <c r="BK4" s="4"/>
      <c r="BL4" s="4" t="s">
        <v>188</v>
      </c>
      <c r="BM4" s="4"/>
      <c r="BN4" s="4"/>
      <c r="BO4" s="4"/>
      <c r="BP4" s="2" t="s">
        <v>172</v>
      </c>
      <c r="BQ4" s="57" t="s">
        <v>173</v>
      </c>
      <c r="BR4" s="4">
        <v>18.25</v>
      </c>
      <c r="BS4" s="56" t="s">
        <v>189</v>
      </c>
      <c r="BT4" s="55"/>
    </row>
    <row r="5" spans="1:72" x14ac:dyDescent="0.15">
      <c r="A5" s="54">
        <v>710</v>
      </c>
      <c r="B5" s="36">
        <v>41741</v>
      </c>
      <c r="C5" s="1" t="s">
        <v>186</v>
      </c>
      <c r="D5" s="2" t="s">
        <v>179</v>
      </c>
      <c r="E5" s="2"/>
      <c r="F5" s="2" t="s">
        <v>195</v>
      </c>
      <c r="G5" s="3">
        <v>41678</v>
      </c>
      <c r="H5" s="4" t="s">
        <v>188</v>
      </c>
      <c r="I5" s="4" t="s">
        <v>189</v>
      </c>
      <c r="J5" s="4"/>
      <c r="K5" s="2" t="s">
        <v>199</v>
      </c>
      <c r="L5" s="55" t="s">
        <v>200</v>
      </c>
      <c r="M5" s="2">
        <v>179</v>
      </c>
      <c r="N5" s="2">
        <v>23.24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15.33</v>
      </c>
      <c r="AG5" s="2"/>
      <c r="AH5" s="2"/>
      <c r="AI5" s="2"/>
      <c r="AJ5" s="2"/>
      <c r="AK5" s="2"/>
      <c r="AL5" s="2"/>
      <c r="AM5" s="55"/>
      <c r="AN5" s="55"/>
      <c r="AO5" s="55"/>
      <c r="AP5" s="55"/>
      <c r="AQ5" s="55" t="s">
        <v>196</v>
      </c>
      <c r="AR5" s="56" t="s">
        <v>189</v>
      </c>
      <c r="AS5" s="56"/>
      <c r="AT5" s="56"/>
      <c r="AU5" s="4" t="s">
        <v>193</v>
      </c>
      <c r="AV5" s="4">
        <v>8.9290000000000003</v>
      </c>
      <c r="AW5" s="4" t="s">
        <v>189</v>
      </c>
      <c r="AX5" s="55"/>
      <c r="AY5" s="56">
        <v>0</v>
      </c>
      <c r="AZ5" s="56">
        <v>0</v>
      </c>
      <c r="BA5" s="56">
        <v>0</v>
      </c>
      <c r="BB5" s="56">
        <v>0</v>
      </c>
      <c r="BC5" s="56">
        <v>0</v>
      </c>
      <c r="BD5" s="56">
        <v>0</v>
      </c>
      <c r="BE5" s="56">
        <v>0</v>
      </c>
      <c r="BF5" s="56">
        <v>0</v>
      </c>
      <c r="BG5" s="4">
        <v>0</v>
      </c>
      <c r="BH5" s="4">
        <v>0</v>
      </c>
      <c r="BI5" s="56"/>
      <c r="BJ5" s="56" t="s">
        <v>189</v>
      </c>
      <c r="BK5" s="4"/>
      <c r="BL5" s="4" t="s">
        <v>189</v>
      </c>
      <c r="BM5" s="4"/>
      <c r="BN5" s="4"/>
      <c r="BO5" s="4"/>
      <c r="BP5" s="2"/>
      <c r="BQ5" s="2"/>
      <c r="BR5" s="4"/>
      <c r="BS5" s="56" t="s">
        <v>189</v>
      </c>
      <c r="BT5" s="2"/>
    </row>
    <row r="6" spans="1:72" x14ac:dyDescent="0.15">
      <c r="A6" s="54">
        <v>1931</v>
      </c>
      <c r="B6" s="36">
        <v>41741</v>
      </c>
      <c r="C6" s="1" t="s">
        <v>186</v>
      </c>
      <c r="D6" s="2" t="s">
        <v>179</v>
      </c>
      <c r="E6" s="2"/>
      <c r="F6" s="2" t="s">
        <v>197</v>
      </c>
      <c r="G6" s="3">
        <v>41458</v>
      </c>
      <c r="H6" s="4" t="s">
        <v>188</v>
      </c>
      <c r="I6" s="4" t="s">
        <v>189</v>
      </c>
      <c r="J6" s="4"/>
      <c r="K6" s="55" t="s">
        <v>190</v>
      </c>
      <c r="L6" s="2" t="s">
        <v>191</v>
      </c>
      <c r="M6" s="2">
        <v>98.355000000000004</v>
      </c>
      <c r="N6" s="2">
        <v>24.824999999999999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17.943000000000001</v>
      </c>
      <c r="AJ6" s="2"/>
      <c r="AK6" s="2"/>
      <c r="AL6" s="2"/>
      <c r="AM6" s="55"/>
      <c r="AN6" s="55"/>
      <c r="AO6" s="55"/>
      <c r="AP6" s="55"/>
      <c r="AQ6" s="55" t="s">
        <v>198</v>
      </c>
      <c r="AR6" s="56" t="s">
        <v>189</v>
      </c>
      <c r="AS6" s="56"/>
      <c r="AT6" s="56"/>
      <c r="AU6" s="4" t="s">
        <v>193</v>
      </c>
      <c r="AV6" s="4">
        <v>8.9290000000000003</v>
      </c>
      <c r="AW6" s="56" t="s">
        <v>194</v>
      </c>
      <c r="AX6" s="55"/>
      <c r="AY6" s="56">
        <v>0</v>
      </c>
      <c r="AZ6" s="56">
        <v>0</v>
      </c>
      <c r="BA6" s="56">
        <v>0</v>
      </c>
      <c r="BB6" s="56">
        <v>0</v>
      </c>
      <c r="BC6" s="56">
        <v>0</v>
      </c>
      <c r="BD6" s="56">
        <v>0</v>
      </c>
      <c r="BE6" s="56">
        <v>0</v>
      </c>
      <c r="BF6" s="56">
        <v>0</v>
      </c>
      <c r="BG6" s="4">
        <v>0</v>
      </c>
      <c r="BH6" s="4">
        <v>0</v>
      </c>
      <c r="BI6" s="56"/>
      <c r="BJ6" s="56" t="s">
        <v>189</v>
      </c>
      <c r="BK6" s="4"/>
      <c r="BL6" s="4" t="s">
        <v>189</v>
      </c>
      <c r="BM6" s="4"/>
      <c r="BN6" s="4"/>
      <c r="BO6" s="4"/>
      <c r="BP6" s="2"/>
      <c r="BQ6" s="2"/>
      <c r="BR6" s="4"/>
      <c r="BS6" s="56" t="s">
        <v>189</v>
      </c>
      <c r="BT6" s="55"/>
    </row>
    <row r="7" spans="1:72" x14ac:dyDescent="0.15">
      <c r="A7" s="54">
        <v>712</v>
      </c>
      <c r="B7" s="36">
        <v>41741</v>
      </c>
      <c r="C7" s="1" t="s">
        <v>186</v>
      </c>
      <c r="D7" s="2" t="s">
        <v>179</v>
      </c>
      <c r="E7" s="2"/>
      <c r="F7" s="2" t="s">
        <v>197</v>
      </c>
      <c r="G7" s="3">
        <v>41678</v>
      </c>
      <c r="H7" s="4" t="s">
        <v>188</v>
      </c>
      <c r="I7" s="4" t="s">
        <v>189</v>
      </c>
      <c r="J7" s="4"/>
      <c r="K7" s="2" t="s">
        <v>199</v>
      </c>
      <c r="L7" s="55" t="s">
        <v>200</v>
      </c>
      <c r="M7" s="2">
        <v>117</v>
      </c>
      <c r="N7" s="2">
        <v>25.19</v>
      </c>
      <c r="O7" s="2"/>
      <c r="P7" s="2"/>
      <c r="Q7" s="2"/>
      <c r="R7" s="2"/>
      <c r="S7" s="2"/>
      <c r="T7" s="2"/>
      <c r="U7" s="2"/>
      <c r="V7" s="2"/>
      <c r="W7" s="2">
        <v>13.1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18.760000000000002</v>
      </c>
      <c r="AJ7" s="2"/>
      <c r="AK7" s="2"/>
      <c r="AL7" s="2"/>
      <c r="AM7" s="55"/>
      <c r="AN7" s="55"/>
      <c r="AO7" s="55"/>
      <c r="AP7" s="55"/>
      <c r="AQ7" s="55" t="s">
        <v>198</v>
      </c>
      <c r="AR7" s="56" t="s">
        <v>189</v>
      </c>
      <c r="AS7" s="56"/>
      <c r="AT7" s="56"/>
      <c r="AU7" s="4" t="s">
        <v>193</v>
      </c>
      <c r="AV7" s="4">
        <v>8.9290000000000003</v>
      </c>
      <c r="AW7" s="4" t="s">
        <v>189</v>
      </c>
      <c r="AX7" s="55"/>
      <c r="AY7" s="56">
        <v>0</v>
      </c>
      <c r="AZ7" s="56">
        <v>0</v>
      </c>
      <c r="BA7" s="56">
        <v>0</v>
      </c>
      <c r="BB7" s="56">
        <v>0</v>
      </c>
      <c r="BC7" s="56">
        <v>0</v>
      </c>
      <c r="BD7" s="56">
        <v>0</v>
      </c>
      <c r="BE7" s="56">
        <v>0</v>
      </c>
      <c r="BF7" s="56">
        <v>0</v>
      </c>
      <c r="BG7" s="4">
        <v>0</v>
      </c>
      <c r="BH7" s="4">
        <v>0</v>
      </c>
      <c r="BI7" s="56"/>
      <c r="BJ7" s="56" t="s">
        <v>189</v>
      </c>
      <c r="BK7" s="4"/>
      <c r="BL7" s="4" t="s">
        <v>189</v>
      </c>
      <c r="BM7" s="4"/>
      <c r="BN7" s="4"/>
      <c r="BO7" s="4"/>
      <c r="BP7" s="2"/>
      <c r="BQ7" s="2"/>
      <c r="BR7" s="4"/>
      <c r="BS7" s="56" t="s">
        <v>189</v>
      </c>
      <c r="BT7" s="2"/>
    </row>
  </sheetData>
  <sheetProtection algorithmName="SHA-512" hashValue="ogyPiuGWAQI8zQAms9eek5srG/JjNWD8QQhqP1wIkMsxHvCQyya8uJv4O0H5c6QFNlt/r+aC++WkQUQydqVOYQ==" saltValue="LqeYiyDKrRxdLltjJhybHg==" spinCount="100000" sheet="1" objects="1" scenarios="1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BR7"/>
  <sheetViews>
    <sheetView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70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111</v>
      </c>
      <c r="AO1" s="18" t="s">
        <v>112</v>
      </c>
      <c r="AP1" s="18" t="s">
        <v>113</v>
      </c>
      <c r="AQ1" s="19" t="s">
        <v>114</v>
      </c>
      <c r="AR1" s="20" t="s">
        <v>115</v>
      </c>
      <c r="AS1" s="20" t="s">
        <v>88</v>
      </c>
      <c r="AT1" s="21" t="s">
        <v>89</v>
      </c>
      <c r="AU1" s="22" t="s">
        <v>90</v>
      </c>
      <c r="AV1" s="23" t="s">
        <v>91</v>
      </c>
      <c r="AW1" s="24" t="s">
        <v>92</v>
      </c>
      <c r="AX1" s="25" t="s">
        <v>93</v>
      </c>
      <c r="AY1" s="26" t="s">
        <v>94</v>
      </c>
      <c r="AZ1" s="27" t="s">
        <v>123</v>
      </c>
      <c r="BA1" s="28" t="s">
        <v>124</v>
      </c>
      <c r="BB1" s="27" t="s">
        <v>125</v>
      </c>
      <c r="BC1" s="28" t="s">
        <v>135</v>
      </c>
      <c r="BD1" s="29" t="s">
        <v>136</v>
      </c>
      <c r="BE1" s="26" t="s">
        <v>137</v>
      </c>
      <c r="BF1" s="30" t="s">
        <v>138</v>
      </c>
      <c r="BG1" s="26" t="s">
        <v>139</v>
      </c>
      <c r="BH1" s="30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31" t="s">
        <v>12</v>
      </c>
      <c r="BO1" s="31" t="s">
        <v>60</v>
      </c>
      <c r="BP1" s="32" t="s">
        <v>53</v>
      </c>
      <c r="BQ1" s="32" t="s">
        <v>8</v>
      </c>
      <c r="BR1" s="31" t="s">
        <v>11</v>
      </c>
    </row>
    <row r="2" spans="1:70" x14ac:dyDescent="0.15">
      <c r="A2" s="54">
        <v>1930</v>
      </c>
      <c r="B2" s="3">
        <v>41554</v>
      </c>
      <c r="C2" s="1" t="s">
        <v>162</v>
      </c>
      <c r="D2" s="2" t="s">
        <v>179</v>
      </c>
      <c r="E2" s="2"/>
      <c r="F2" s="2" t="s">
        <v>177</v>
      </c>
      <c r="G2" s="3">
        <v>41458</v>
      </c>
      <c r="H2" s="4" t="s">
        <v>164</v>
      </c>
      <c r="I2" s="4" t="s">
        <v>165</v>
      </c>
      <c r="J2" s="4"/>
      <c r="K2" s="55" t="s">
        <v>166</v>
      </c>
      <c r="L2" s="2" t="s">
        <v>167</v>
      </c>
      <c r="M2" s="2">
        <v>90.801000000000002</v>
      </c>
      <c r="N2" s="2">
        <v>30.167000000000002</v>
      </c>
      <c r="O2" s="2" t="s">
        <v>168</v>
      </c>
      <c r="P2" s="2">
        <v>500</v>
      </c>
      <c r="Q2" s="2">
        <v>22.317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5"/>
      <c r="AN2" s="55"/>
      <c r="AO2" s="55"/>
      <c r="AP2" s="55"/>
      <c r="AQ2" s="55" t="s">
        <v>178</v>
      </c>
      <c r="AR2" s="56" t="s">
        <v>165</v>
      </c>
      <c r="AS2" s="56"/>
      <c r="AT2" s="56"/>
      <c r="AU2" s="4" t="s">
        <v>176</v>
      </c>
      <c r="AV2" s="4">
        <v>8.9290000000000003</v>
      </c>
      <c r="AW2" s="56" t="s">
        <v>171</v>
      </c>
      <c r="AX2" s="55"/>
      <c r="AY2" s="56">
        <v>0</v>
      </c>
      <c r="AZ2" s="56">
        <v>0</v>
      </c>
      <c r="BA2" s="4">
        <v>0</v>
      </c>
      <c r="BB2" s="56">
        <v>0</v>
      </c>
      <c r="BC2" s="56">
        <v>0</v>
      </c>
      <c r="BD2" s="56">
        <v>0</v>
      </c>
      <c r="BE2" s="56">
        <v>0</v>
      </c>
      <c r="BF2" s="56">
        <v>0</v>
      </c>
      <c r="BG2" s="4">
        <v>0</v>
      </c>
      <c r="BH2" s="4">
        <v>0</v>
      </c>
      <c r="BI2" s="56"/>
      <c r="BJ2" s="56" t="s">
        <v>165</v>
      </c>
      <c r="BK2" s="4"/>
      <c r="BL2" s="4" t="s">
        <v>164</v>
      </c>
      <c r="BM2" s="4"/>
      <c r="BN2" s="2" t="s">
        <v>172</v>
      </c>
      <c r="BO2" s="57" t="s">
        <v>173</v>
      </c>
      <c r="BP2" s="4">
        <v>18.25</v>
      </c>
      <c r="BQ2" s="56" t="s">
        <v>165</v>
      </c>
      <c r="BR2" s="55"/>
    </row>
    <row r="3" spans="1:70" x14ac:dyDescent="0.15">
      <c r="A3" s="54">
        <v>711</v>
      </c>
      <c r="B3" s="3">
        <v>41554</v>
      </c>
      <c r="C3" s="1" t="s">
        <v>162</v>
      </c>
      <c r="D3" s="2" t="s">
        <v>180</v>
      </c>
      <c r="E3" s="2"/>
      <c r="F3" s="2" t="s">
        <v>181</v>
      </c>
      <c r="G3" s="3">
        <v>41455</v>
      </c>
      <c r="H3" s="4" t="s">
        <v>164</v>
      </c>
      <c r="I3" s="4" t="s">
        <v>165</v>
      </c>
      <c r="J3" s="4"/>
      <c r="K3" s="2" t="s">
        <v>182</v>
      </c>
      <c r="L3" s="55" t="s">
        <v>183</v>
      </c>
      <c r="M3" s="2">
        <v>99</v>
      </c>
      <c r="N3" s="2">
        <v>26.86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5"/>
      <c r="AN3" s="55"/>
      <c r="AO3" s="55"/>
      <c r="AP3" s="55"/>
      <c r="AQ3" s="55" t="s">
        <v>178</v>
      </c>
      <c r="AR3" s="56" t="s">
        <v>165</v>
      </c>
      <c r="AS3" s="56"/>
      <c r="AT3" s="56"/>
      <c r="AU3" s="4" t="s">
        <v>184</v>
      </c>
      <c r="AV3" s="4">
        <v>8.9290000000000003</v>
      </c>
      <c r="AW3" s="4" t="s">
        <v>165</v>
      </c>
      <c r="AX3" s="55"/>
      <c r="AY3" s="56">
        <v>0</v>
      </c>
      <c r="AZ3" s="56">
        <v>0</v>
      </c>
      <c r="BA3" s="56">
        <v>0</v>
      </c>
      <c r="BB3" s="56">
        <v>0</v>
      </c>
      <c r="BC3" s="56">
        <v>0</v>
      </c>
      <c r="BD3" s="56">
        <v>0</v>
      </c>
      <c r="BE3" s="56">
        <v>0</v>
      </c>
      <c r="BF3" s="56">
        <v>0</v>
      </c>
      <c r="BG3" s="4">
        <v>0</v>
      </c>
      <c r="BH3" s="4">
        <v>0</v>
      </c>
      <c r="BI3" s="56"/>
      <c r="BJ3" s="56" t="s">
        <v>165</v>
      </c>
      <c r="BK3" s="4"/>
      <c r="BL3" s="4" t="s">
        <v>165</v>
      </c>
      <c r="BM3" s="4"/>
      <c r="BN3" s="2"/>
      <c r="BO3" s="2"/>
      <c r="BP3" s="4"/>
      <c r="BQ3" s="56" t="s">
        <v>165</v>
      </c>
      <c r="BR3" s="2"/>
    </row>
    <row r="4" spans="1:70" x14ac:dyDescent="0.15">
      <c r="A4" s="54">
        <v>1928</v>
      </c>
      <c r="B4" s="3">
        <v>41554</v>
      </c>
      <c r="C4" s="1" t="s">
        <v>162</v>
      </c>
      <c r="D4" s="2" t="s">
        <v>179</v>
      </c>
      <c r="E4" s="2"/>
      <c r="F4" s="2" t="s">
        <v>163</v>
      </c>
      <c r="G4" s="3">
        <v>41458</v>
      </c>
      <c r="H4" s="4" t="s">
        <v>164</v>
      </c>
      <c r="I4" s="4" t="s">
        <v>165</v>
      </c>
      <c r="J4" s="4"/>
      <c r="K4" s="55" t="s">
        <v>166</v>
      </c>
      <c r="L4" s="2" t="s">
        <v>167</v>
      </c>
      <c r="M4" s="2">
        <v>107.08</v>
      </c>
      <c r="N4" s="2">
        <v>30.167000000000002</v>
      </c>
      <c r="O4" s="2" t="s">
        <v>168</v>
      </c>
      <c r="P4" s="2">
        <v>500</v>
      </c>
      <c r="Q4" s="2">
        <v>22.317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55"/>
      <c r="AN4" s="55"/>
      <c r="AO4" s="55"/>
      <c r="AP4" s="55"/>
      <c r="AQ4" s="55" t="s">
        <v>169</v>
      </c>
      <c r="AR4" s="56" t="s">
        <v>165</v>
      </c>
      <c r="AS4" s="56"/>
      <c r="AT4" s="56"/>
      <c r="AU4" s="4" t="s">
        <v>170</v>
      </c>
      <c r="AV4" s="4">
        <v>8.9290000000000003</v>
      </c>
      <c r="AW4" s="56" t="s">
        <v>171</v>
      </c>
      <c r="AX4" s="55"/>
      <c r="AY4" s="56">
        <v>0</v>
      </c>
      <c r="AZ4" s="56">
        <v>0</v>
      </c>
      <c r="BA4" s="4">
        <v>0</v>
      </c>
      <c r="BB4" s="56">
        <v>0</v>
      </c>
      <c r="BC4" s="56">
        <v>0</v>
      </c>
      <c r="BD4" s="56">
        <v>0</v>
      </c>
      <c r="BE4" s="56">
        <v>0</v>
      </c>
      <c r="BF4" s="56">
        <v>0</v>
      </c>
      <c r="BG4" s="4">
        <v>0</v>
      </c>
      <c r="BH4" s="4">
        <v>0</v>
      </c>
      <c r="BI4" s="56"/>
      <c r="BJ4" s="56" t="s">
        <v>165</v>
      </c>
      <c r="BK4" s="4"/>
      <c r="BL4" s="4" t="s">
        <v>164</v>
      </c>
      <c r="BM4" s="4"/>
      <c r="BN4" s="2" t="s">
        <v>172</v>
      </c>
      <c r="BO4" s="57" t="s">
        <v>173</v>
      </c>
      <c r="BP4" s="4">
        <v>18.25</v>
      </c>
      <c r="BQ4" s="56" t="s">
        <v>165</v>
      </c>
      <c r="BR4" s="55"/>
    </row>
    <row r="5" spans="1:70" x14ac:dyDescent="0.15">
      <c r="A5" s="54">
        <v>710</v>
      </c>
      <c r="B5" s="3">
        <v>41554</v>
      </c>
      <c r="C5" s="1" t="s">
        <v>162</v>
      </c>
      <c r="D5" s="2" t="s">
        <v>180</v>
      </c>
      <c r="E5" s="2"/>
      <c r="F5" s="2" t="s">
        <v>163</v>
      </c>
      <c r="G5" s="3">
        <v>41455</v>
      </c>
      <c r="H5" s="4" t="s">
        <v>164</v>
      </c>
      <c r="I5" s="4" t="s">
        <v>165</v>
      </c>
      <c r="J5" s="4"/>
      <c r="K5" s="2" t="s">
        <v>182</v>
      </c>
      <c r="L5" s="55" t="s">
        <v>183</v>
      </c>
      <c r="M5" s="2">
        <v>160</v>
      </c>
      <c r="N5" s="2">
        <v>26.89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18.43</v>
      </c>
      <c r="AG5" s="2"/>
      <c r="AH5" s="2"/>
      <c r="AI5" s="2"/>
      <c r="AJ5" s="2"/>
      <c r="AK5" s="2"/>
      <c r="AL5" s="2"/>
      <c r="AM5" s="55"/>
      <c r="AN5" s="55"/>
      <c r="AO5" s="55"/>
      <c r="AP5" s="55"/>
      <c r="AQ5" s="55" t="s">
        <v>169</v>
      </c>
      <c r="AR5" s="56" t="s">
        <v>165</v>
      </c>
      <c r="AS5" s="56"/>
      <c r="AT5" s="56"/>
      <c r="AU5" s="4" t="s">
        <v>184</v>
      </c>
      <c r="AV5" s="4">
        <v>8.9290000000000003</v>
      </c>
      <c r="AW5" s="4" t="s">
        <v>165</v>
      </c>
      <c r="AX5" s="55"/>
      <c r="AY5" s="56">
        <v>0</v>
      </c>
      <c r="AZ5" s="56">
        <v>0</v>
      </c>
      <c r="BA5" s="56">
        <v>0</v>
      </c>
      <c r="BB5" s="56">
        <v>0</v>
      </c>
      <c r="BC5" s="56">
        <v>0</v>
      </c>
      <c r="BD5" s="56">
        <v>0</v>
      </c>
      <c r="BE5" s="56">
        <v>0</v>
      </c>
      <c r="BF5" s="56">
        <v>0</v>
      </c>
      <c r="BG5" s="4">
        <v>0</v>
      </c>
      <c r="BH5" s="4">
        <v>0</v>
      </c>
      <c r="BI5" s="56"/>
      <c r="BJ5" s="56" t="s">
        <v>165</v>
      </c>
      <c r="BK5" s="4"/>
      <c r="BL5" s="4" t="s">
        <v>165</v>
      </c>
      <c r="BM5" s="4"/>
      <c r="BN5" s="2"/>
      <c r="BO5" s="2"/>
      <c r="BP5" s="4"/>
      <c r="BQ5" s="56" t="s">
        <v>165</v>
      </c>
      <c r="BR5" s="2"/>
    </row>
    <row r="6" spans="1:70" x14ac:dyDescent="0.15">
      <c r="A6" s="54">
        <v>1931</v>
      </c>
      <c r="B6" s="3">
        <v>41554</v>
      </c>
      <c r="C6" s="1" t="s">
        <v>162</v>
      </c>
      <c r="D6" s="2" t="s">
        <v>179</v>
      </c>
      <c r="E6" s="2"/>
      <c r="F6" s="2" t="s">
        <v>174</v>
      </c>
      <c r="G6" s="3">
        <v>41458</v>
      </c>
      <c r="H6" s="4" t="s">
        <v>164</v>
      </c>
      <c r="I6" s="4" t="s">
        <v>165</v>
      </c>
      <c r="J6" s="4"/>
      <c r="K6" s="55" t="s">
        <v>166</v>
      </c>
      <c r="L6" s="2" t="s">
        <v>167</v>
      </c>
      <c r="M6" s="2">
        <v>98.355000000000004</v>
      </c>
      <c r="N6" s="2">
        <v>24.824999999999999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17.943000000000001</v>
      </c>
      <c r="AJ6" s="2"/>
      <c r="AK6" s="2"/>
      <c r="AL6" s="2"/>
      <c r="AM6" s="55"/>
      <c r="AN6" s="55"/>
      <c r="AO6" s="55"/>
      <c r="AP6" s="55"/>
      <c r="AQ6" s="55" t="s">
        <v>175</v>
      </c>
      <c r="AR6" s="56" t="s">
        <v>165</v>
      </c>
      <c r="AS6" s="56"/>
      <c r="AT6" s="56"/>
      <c r="AU6" s="4" t="s">
        <v>176</v>
      </c>
      <c r="AV6" s="4">
        <v>8.9290000000000003</v>
      </c>
      <c r="AW6" s="56" t="s">
        <v>171</v>
      </c>
      <c r="AX6" s="55"/>
      <c r="AY6" s="56">
        <v>0</v>
      </c>
      <c r="AZ6" s="56">
        <v>0</v>
      </c>
      <c r="BA6" s="56">
        <v>0</v>
      </c>
      <c r="BB6" s="56">
        <v>0</v>
      </c>
      <c r="BC6" s="56">
        <v>0</v>
      </c>
      <c r="BD6" s="56">
        <v>0</v>
      </c>
      <c r="BE6" s="56">
        <v>0</v>
      </c>
      <c r="BF6" s="56">
        <v>0</v>
      </c>
      <c r="BG6" s="4">
        <v>0</v>
      </c>
      <c r="BH6" s="4">
        <v>0</v>
      </c>
      <c r="BI6" s="56"/>
      <c r="BJ6" s="56" t="s">
        <v>165</v>
      </c>
      <c r="BK6" s="4"/>
      <c r="BL6" s="4" t="s">
        <v>165</v>
      </c>
      <c r="BM6" s="4"/>
      <c r="BN6" s="2"/>
      <c r="BO6" s="2"/>
      <c r="BP6" s="4"/>
      <c r="BQ6" s="56" t="s">
        <v>165</v>
      </c>
      <c r="BR6" s="55"/>
    </row>
    <row r="7" spans="1:70" x14ac:dyDescent="0.15">
      <c r="A7" s="54">
        <v>712</v>
      </c>
      <c r="B7" s="3">
        <v>41554</v>
      </c>
      <c r="C7" s="1" t="s">
        <v>162</v>
      </c>
      <c r="D7" s="2" t="s">
        <v>180</v>
      </c>
      <c r="E7" s="2"/>
      <c r="F7" s="2" t="s">
        <v>174</v>
      </c>
      <c r="G7" s="3">
        <v>41455</v>
      </c>
      <c r="H7" s="4" t="s">
        <v>164</v>
      </c>
      <c r="I7" s="4" t="s">
        <v>165</v>
      </c>
      <c r="J7" s="4"/>
      <c r="K7" s="2" t="s">
        <v>182</v>
      </c>
      <c r="L7" s="55" t="s">
        <v>183</v>
      </c>
      <c r="M7" s="2">
        <v>115</v>
      </c>
      <c r="N7" s="2">
        <v>30.06</v>
      </c>
      <c r="O7" s="2"/>
      <c r="P7" s="2"/>
      <c r="Q7" s="2"/>
      <c r="R7" s="2"/>
      <c r="S7" s="2"/>
      <c r="T7" s="2"/>
      <c r="U7" s="2"/>
      <c r="V7" s="2"/>
      <c r="W7" s="2">
        <v>15.44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21.23</v>
      </c>
      <c r="AJ7" s="2"/>
      <c r="AK7" s="2"/>
      <c r="AL7" s="2"/>
      <c r="AM7" s="55"/>
      <c r="AN7" s="55"/>
      <c r="AO7" s="55"/>
      <c r="AP7" s="55"/>
      <c r="AQ7" s="55" t="s">
        <v>175</v>
      </c>
      <c r="AR7" s="56" t="s">
        <v>185</v>
      </c>
      <c r="AS7" s="56"/>
      <c r="AT7" s="56"/>
      <c r="AU7" s="4" t="s">
        <v>184</v>
      </c>
      <c r="AV7" s="4">
        <v>8.9290000000000003</v>
      </c>
      <c r="AW7" s="4" t="s">
        <v>165</v>
      </c>
      <c r="AX7" s="55"/>
      <c r="AY7" s="56">
        <v>0</v>
      </c>
      <c r="AZ7" s="56">
        <v>0</v>
      </c>
      <c r="BA7" s="56">
        <v>0</v>
      </c>
      <c r="BB7" s="56">
        <v>0</v>
      </c>
      <c r="BC7" s="56">
        <v>0</v>
      </c>
      <c r="BD7" s="56">
        <v>0</v>
      </c>
      <c r="BE7" s="56">
        <v>0</v>
      </c>
      <c r="BF7" s="56">
        <v>0</v>
      </c>
      <c r="BG7" s="4">
        <v>0</v>
      </c>
      <c r="BH7" s="4">
        <v>0</v>
      </c>
      <c r="BI7" s="56"/>
      <c r="BJ7" s="56" t="s">
        <v>165</v>
      </c>
      <c r="BK7" s="4"/>
      <c r="BL7" s="4" t="s">
        <v>165</v>
      </c>
      <c r="BM7" s="4"/>
      <c r="BN7" s="2"/>
      <c r="BO7" s="2"/>
      <c r="BP7" s="4"/>
      <c r="BQ7" s="56" t="s">
        <v>165</v>
      </c>
      <c r="BR7" s="2"/>
    </row>
  </sheetData>
  <sheetProtection algorithmName="SHA-512" hashValue="h5slsyjO+eKtlxnxdYT58uGzBsL7byADL8ST67a67EuNSOqaoYSj3CFzdZ3/nC7NBxie9Os+4MTHbEyJscC0kA==" saltValue="2eEugFW6ZQfpTHlKrMOAlg==" spinCount="100000" sheet="1" objects="1" scenarios="1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/>
  <dimension ref="A1:CS7"/>
  <sheetViews>
    <sheetView topLeftCell="B1"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9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111</v>
      </c>
      <c r="AO1" s="18" t="s">
        <v>112</v>
      </c>
      <c r="AP1" s="18" t="s">
        <v>113</v>
      </c>
      <c r="AQ1" s="19" t="s">
        <v>114</v>
      </c>
      <c r="AR1" s="20" t="s">
        <v>115</v>
      </c>
      <c r="AS1" s="20" t="s">
        <v>88</v>
      </c>
      <c r="AT1" s="21" t="s">
        <v>89</v>
      </c>
      <c r="AU1" s="22" t="s">
        <v>90</v>
      </c>
      <c r="AV1" s="23" t="s">
        <v>91</v>
      </c>
      <c r="AW1" s="24" t="s">
        <v>92</v>
      </c>
      <c r="AX1" s="25" t="s">
        <v>93</v>
      </c>
      <c r="AY1" s="26" t="s">
        <v>94</v>
      </c>
      <c r="AZ1" s="27" t="s">
        <v>123</v>
      </c>
      <c r="BA1" s="28" t="s">
        <v>124</v>
      </c>
      <c r="BB1" s="27" t="s">
        <v>125</v>
      </c>
      <c r="BC1" s="28" t="s">
        <v>135</v>
      </c>
      <c r="BD1" s="29" t="s">
        <v>136</v>
      </c>
      <c r="BE1" s="26" t="s">
        <v>137</v>
      </c>
      <c r="BF1" s="30" t="s">
        <v>138</v>
      </c>
      <c r="BG1" s="26" t="s">
        <v>139</v>
      </c>
      <c r="BH1" s="30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31" t="s">
        <v>12</v>
      </c>
      <c r="BO1" s="31" t="s">
        <v>60</v>
      </c>
      <c r="BP1" s="32" t="s">
        <v>53</v>
      </c>
      <c r="BQ1" s="32" t="s">
        <v>8</v>
      </c>
      <c r="BR1" s="31" t="s">
        <v>11</v>
      </c>
    </row>
    <row r="2" spans="1:97" s="37" customFormat="1" x14ac:dyDescent="0.15">
      <c r="A2" s="2">
        <v>1638</v>
      </c>
      <c r="B2" s="36">
        <v>41466</v>
      </c>
      <c r="C2" s="1" t="s">
        <v>150</v>
      </c>
      <c r="D2" s="2" t="s">
        <v>151</v>
      </c>
      <c r="E2" s="2"/>
      <c r="F2" s="2" t="s">
        <v>152</v>
      </c>
      <c r="G2" s="3">
        <v>41090</v>
      </c>
      <c r="H2" s="4" t="s">
        <v>70</v>
      </c>
      <c r="I2" s="4" t="s">
        <v>147</v>
      </c>
      <c r="J2" s="4"/>
      <c r="K2" s="2" t="s">
        <v>104</v>
      </c>
      <c r="L2" s="2" t="s">
        <v>131</v>
      </c>
      <c r="M2" s="2">
        <v>90.801000000000002</v>
      </c>
      <c r="N2" s="2">
        <v>32.32</v>
      </c>
      <c r="O2" s="2" t="s">
        <v>130</v>
      </c>
      <c r="P2" s="2">
        <v>500</v>
      </c>
      <c r="Q2" s="2">
        <v>23.725000000000001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106</v>
      </c>
      <c r="AR2" s="4" t="s">
        <v>147</v>
      </c>
      <c r="AS2" s="4"/>
      <c r="AT2" s="4"/>
      <c r="AU2" s="4" t="s">
        <v>107</v>
      </c>
      <c r="AV2" s="4">
        <v>6.6710000000000003</v>
      </c>
      <c r="AW2" s="4" t="s">
        <v>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147</v>
      </c>
      <c r="BK2" s="4"/>
      <c r="BL2" s="4" t="s">
        <v>147</v>
      </c>
      <c r="BM2" s="4"/>
      <c r="BN2" s="2"/>
      <c r="BO2" s="2"/>
      <c r="BP2" s="4"/>
      <c r="BQ2" s="4" t="s">
        <v>147</v>
      </c>
      <c r="BR2" s="2"/>
    </row>
    <row r="3" spans="1:97" s="37" customFormat="1" x14ac:dyDescent="0.15">
      <c r="A3" s="2">
        <v>711</v>
      </c>
      <c r="B3" s="36">
        <v>41466</v>
      </c>
      <c r="C3" s="1" t="s">
        <v>108</v>
      </c>
      <c r="D3" s="2" t="s">
        <v>109</v>
      </c>
      <c r="E3" s="2"/>
      <c r="F3" s="2" t="s">
        <v>28</v>
      </c>
      <c r="G3" s="3">
        <v>41152</v>
      </c>
      <c r="H3" s="4" t="s">
        <v>70</v>
      </c>
      <c r="I3" s="4" t="s">
        <v>147</v>
      </c>
      <c r="J3" s="4"/>
      <c r="K3" s="2" t="s">
        <v>29</v>
      </c>
      <c r="L3" s="2" t="s">
        <v>30</v>
      </c>
      <c r="M3" s="2">
        <v>89</v>
      </c>
      <c r="N3" s="2">
        <v>23.12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106</v>
      </c>
      <c r="AR3" s="4" t="s">
        <v>147</v>
      </c>
      <c r="AS3" s="4"/>
      <c r="AT3" s="4"/>
      <c r="AU3" s="4" t="s">
        <v>107</v>
      </c>
      <c r="AV3" s="4">
        <v>6.7709999999999999</v>
      </c>
      <c r="AW3" s="4" t="s">
        <v>147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147</v>
      </c>
      <c r="BK3" s="4"/>
      <c r="BL3" s="4" t="s">
        <v>147</v>
      </c>
      <c r="BM3" s="4"/>
      <c r="BN3" s="2"/>
      <c r="BO3" s="2"/>
      <c r="BP3" s="4"/>
      <c r="BQ3" s="4" t="s">
        <v>147</v>
      </c>
      <c r="BR3" s="2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</row>
    <row r="4" spans="1:97" s="37" customFormat="1" x14ac:dyDescent="0.15">
      <c r="A4" s="2">
        <v>1636</v>
      </c>
      <c r="B4" s="36">
        <v>41466</v>
      </c>
      <c r="C4" s="1" t="s">
        <v>108</v>
      </c>
      <c r="D4" s="2" t="s">
        <v>109</v>
      </c>
      <c r="E4" s="2"/>
      <c r="F4" s="2" t="s">
        <v>31</v>
      </c>
      <c r="G4" s="3">
        <v>41090</v>
      </c>
      <c r="H4" s="4" t="s">
        <v>70</v>
      </c>
      <c r="I4" s="4" t="s">
        <v>147</v>
      </c>
      <c r="J4" s="4"/>
      <c r="K4" s="2" t="s">
        <v>104</v>
      </c>
      <c r="L4" s="2" t="s">
        <v>131</v>
      </c>
      <c r="M4" s="2">
        <v>107.08</v>
      </c>
      <c r="N4" s="2">
        <v>32.32</v>
      </c>
      <c r="O4" s="2" t="s">
        <v>130</v>
      </c>
      <c r="P4" s="2">
        <v>500</v>
      </c>
      <c r="Q4" s="2">
        <v>23.725000000000001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32</v>
      </c>
      <c r="AR4" s="4" t="s">
        <v>147</v>
      </c>
      <c r="AS4" s="4"/>
      <c r="AT4" s="4"/>
      <c r="AU4" s="4" t="s">
        <v>107</v>
      </c>
      <c r="AV4" s="4">
        <v>6.6710000000000003</v>
      </c>
      <c r="AW4" s="4" t="s">
        <v>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147</v>
      </c>
      <c r="BK4" s="4"/>
      <c r="BL4" s="4" t="s">
        <v>147</v>
      </c>
      <c r="BM4" s="4"/>
      <c r="BN4" s="2"/>
      <c r="BO4" s="2"/>
      <c r="BP4" s="4"/>
      <c r="BQ4" s="4" t="s">
        <v>147</v>
      </c>
      <c r="BR4" s="2"/>
    </row>
    <row r="5" spans="1:97" s="37" customFormat="1" x14ac:dyDescent="0.15">
      <c r="A5" s="2">
        <v>710</v>
      </c>
      <c r="B5" s="36">
        <v>41466</v>
      </c>
      <c r="C5" s="1" t="s">
        <v>108</v>
      </c>
      <c r="D5" s="2" t="s">
        <v>109</v>
      </c>
      <c r="E5" s="2"/>
      <c r="F5" s="2" t="s">
        <v>31</v>
      </c>
      <c r="G5" s="3">
        <v>41152</v>
      </c>
      <c r="H5" s="4" t="s">
        <v>70</v>
      </c>
      <c r="I5" s="4" t="s">
        <v>147</v>
      </c>
      <c r="J5" s="4"/>
      <c r="K5" s="2" t="s">
        <v>29</v>
      </c>
      <c r="L5" s="2" t="s">
        <v>30</v>
      </c>
      <c r="M5" s="2">
        <v>153</v>
      </c>
      <c r="N5" s="2">
        <v>23.12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13.79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32</v>
      </c>
      <c r="AR5" s="4" t="s">
        <v>147</v>
      </c>
      <c r="AS5" s="4"/>
      <c r="AT5" s="4"/>
      <c r="AU5" s="4" t="s">
        <v>107</v>
      </c>
      <c r="AV5" s="4">
        <v>6.7709999999999999</v>
      </c>
      <c r="AW5" s="4" t="s">
        <v>147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147</v>
      </c>
      <c r="BK5" s="4"/>
      <c r="BL5" s="4" t="s">
        <v>147</v>
      </c>
      <c r="BM5" s="4"/>
      <c r="BN5" s="2"/>
      <c r="BO5" s="2"/>
      <c r="BP5" s="4"/>
      <c r="BQ5" s="4" t="s">
        <v>147</v>
      </c>
      <c r="BR5" s="2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</row>
    <row r="6" spans="1:97" s="37" customFormat="1" x14ac:dyDescent="0.15">
      <c r="A6" s="2">
        <v>1639</v>
      </c>
      <c r="B6" s="36">
        <v>41466</v>
      </c>
      <c r="C6" s="1" t="s">
        <v>108</v>
      </c>
      <c r="D6" s="2" t="s">
        <v>109</v>
      </c>
      <c r="E6" s="2"/>
      <c r="F6" s="2" t="s">
        <v>33</v>
      </c>
      <c r="G6" s="3">
        <v>41090</v>
      </c>
      <c r="H6" s="4" t="s">
        <v>70</v>
      </c>
      <c r="I6" s="4" t="s">
        <v>147</v>
      </c>
      <c r="J6" s="4"/>
      <c r="K6" s="2" t="s">
        <v>104</v>
      </c>
      <c r="L6" s="2" t="s">
        <v>131</v>
      </c>
      <c r="M6" s="2">
        <v>98.355000000000004</v>
      </c>
      <c r="N6" s="2">
        <v>25.841999999999999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18.317</v>
      </c>
      <c r="AJ6" s="2"/>
      <c r="AK6" s="2"/>
      <c r="AL6" s="2"/>
      <c r="AM6" s="2"/>
      <c r="AN6" s="2"/>
      <c r="AO6" s="2"/>
      <c r="AP6" s="2"/>
      <c r="AQ6" s="2" t="s">
        <v>34</v>
      </c>
      <c r="AR6" s="4" t="s">
        <v>147</v>
      </c>
      <c r="AS6" s="4"/>
      <c r="AT6" s="4"/>
      <c r="AU6" s="4" t="s">
        <v>107</v>
      </c>
      <c r="AV6" s="4">
        <v>6.6710000000000003</v>
      </c>
      <c r="AW6" s="4" t="s">
        <v>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147</v>
      </c>
      <c r="BK6" s="4"/>
      <c r="BL6" s="4" t="s">
        <v>147</v>
      </c>
      <c r="BM6" s="4"/>
      <c r="BN6" s="2"/>
      <c r="BO6" s="2"/>
      <c r="BP6" s="4"/>
      <c r="BQ6" s="4" t="s">
        <v>147</v>
      </c>
      <c r="BR6" s="2"/>
    </row>
    <row r="7" spans="1:97" s="37" customFormat="1" x14ac:dyDescent="0.15">
      <c r="A7" s="2">
        <v>712</v>
      </c>
      <c r="B7" s="36">
        <v>41466</v>
      </c>
      <c r="C7" s="1" t="s">
        <v>108</v>
      </c>
      <c r="D7" s="2" t="s">
        <v>109</v>
      </c>
      <c r="E7" s="2"/>
      <c r="F7" s="2" t="s">
        <v>33</v>
      </c>
      <c r="G7" s="3">
        <v>41152</v>
      </c>
      <c r="H7" s="4" t="s">
        <v>70</v>
      </c>
      <c r="I7" s="4" t="s">
        <v>147</v>
      </c>
      <c r="J7" s="4"/>
      <c r="K7" s="2" t="s">
        <v>29</v>
      </c>
      <c r="L7" s="2" t="s">
        <v>30</v>
      </c>
      <c r="M7" s="2">
        <v>92</v>
      </c>
      <c r="N7" s="2">
        <v>24.58</v>
      </c>
      <c r="O7" s="2"/>
      <c r="P7" s="2"/>
      <c r="Q7" s="2"/>
      <c r="R7" s="2"/>
      <c r="S7" s="2"/>
      <c r="T7" s="2"/>
      <c r="U7" s="2"/>
      <c r="V7" s="2"/>
      <c r="W7" s="2">
        <v>8.5399999999999991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16.149999999999999</v>
      </c>
      <c r="AJ7" s="2"/>
      <c r="AK7" s="2"/>
      <c r="AL7" s="2"/>
      <c r="AM7" s="2"/>
      <c r="AN7" s="2"/>
      <c r="AO7" s="2"/>
      <c r="AP7" s="2"/>
      <c r="AQ7" s="2" t="s">
        <v>34</v>
      </c>
      <c r="AR7" s="4" t="s">
        <v>147</v>
      </c>
      <c r="AS7" s="4"/>
      <c r="AT7" s="4"/>
      <c r="AU7" s="4" t="s">
        <v>107</v>
      </c>
      <c r="AV7" s="4">
        <v>6.7709999999999999</v>
      </c>
      <c r="AW7" s="4" t="s">
        <v>147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147</v>
      </c>
      <c r="BK7" s="4"/>
      <c r="BL7" s="4" t="s">
        <v>147</v>
      </c>
      <c r="BM7" s="4"/>
      <c r="BN7" s="2"/>
      <c r="BO7" s="2"/>
      <c r="BP7" s="4"/>
      <c r="BQ7" s="4" t="s">
        <v>147</v>
      </c>
      <c r="BR7" s="2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</row>
  </sheetData>
  <sheetProtection algorithmName="SHA-512" hashValue="zWtTJYttWTjNkVpvNlNVcIu8g+Iz88FJjAb6C/JHnfDeOeb4EEIk6kwps1Ks55xPJvzAyivFS+0Mwuyv3yINCg==" saltValue="wQkMgQjT9lI1dVDGduuN4A==" spinCount="100000" sheet="1" objects="1" scenarios="1"/>
  <phoneticPr fontId="2" type="noConversion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CS7"/>
  <sheetViews>
    <sheetView zoomScale="125" zoomScaleNormal="125" zoomScalePageLayoutView="125" workbookViewId="0">
      <selection activeCell="G2" sqref="G2:G7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9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4" t="s">
        <v>146</v>
      </c>
      <c r="AE1" s="14" t="s">
        <v>98</v>
      </c>
      <c r="AF1" s="15" t="s">
        <v>99</v>
      </c>
      <c r="AG1" s="16" t="s">
        <v>49</v>
      </c>
      <c r="AH1" s="16" t="s">
        <v>50</v>
      </c>
      <c r="AI1" s="17" t="s">
        <v>51</v>
      </c>
      <c r="AJ1" s="17" t="s">
        <v>52</v>
      </c>
      <c r="AK1" s="17" t="s">
        <v>9</v>
      </c>
      <c r="AL1" s="17" t="s">
        <v>10</v>
      </c>
      <c r="AM1" s="17" t="s">
        <v>110</v>
      </c>
      <c r="AN1" s="18" t="s">
        <v>111</v>
      </c>
      <c r="AO1" s="18" t="s">
        <v>112</v>
      </c>
      <c r="AP1" s="18" t="s">
        <v>113</v>
      </c>
      <c r="AQ1" s="19" t="s">
        <v>114</v>
      </c>
      <c r="AR1" s="20" t="s">
        <v>115</v>
      </c>
      <c r="AS1" s="20" t="s">
        <v>88</v>
      </c>
      <c r="AT1" s="21" t="s">
        <v>89</v>
      </c>
      <c r="AU1" s="22" t="s">
        <v>90</v>
      </c>
      <c r="AV1" s="23" t="s">
        <v>91</v>
      </c>
      <c r="AW1" s="24" t="s">
        <v>92</v>
      </c>
      <c r="AX1" s="25" t="s">
        <v>93</v>
      </c>
      <c r="AY1" s="26" t="s">
        <v>94</v>
      </c>
      <c r="AZ1" s="27" t="s">
        <v>123</v>
      </c>
      <c r="BA1" s="28" t="s">
        <v>124</v>
      </c>
      <c r="BB1" s="27" t="s">
        <v>125</v>
      </c>
      <c r="BC1" s="28" t="s">
        <v>135</v>
      </c>
      <c r="BD1" s="29" t="s">
        <v>136</v>
      </c>
      <c r="BE1" s="26" t="s">
        <v>137</v>
      </c>
      <c r="BF1" s="30" t="s">
        <v>138</v>
      </c>
      <c r="BG1" s="26" t="s">
        <v>139</v>
      </c>
      <c r="BH1" s="30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31" t="s">
        <v>12</v>
      </c>
      <c r="BO1" s="31" t="s">
        <v>60</v>
      </c>
      <c r="BP1" s="32" t="s">
        <v>53</v>
      </c>
      <c r="BQ1" s="32" t="s">
        <v>8</v>
      </c>
      <c r="BR1" s="31" t="s">
        <v>11</v>
      </c>
    </row>
    <row r="2" spans="1:97" s="37" customFormat="1" x14ac:dyDescent="0.15">
      <c r="A2" s="2">
        <v>1638</v>
      </c>
      <c r="B2" s="36">
        <v>41013</v>
      </c>
      <c r="C2" s="1" t="s">
        <v>150</v>
      </c>
      <c r="D2" s="2" t="s">
        <v>151</v>
      </c>
      <c r="E2" s="2"/>
      <c r="F2" s="2" t="s">
        <v>152</v>
      </c>
      <c r="G2" s="3">
        <v>40724</v>
      </c>
      <c r="H2" s="4" t="s">
        <v>70</v>
      </c>
      <c r="I2" s="4" t="s">
        <v>147</v>
      </c>
      <c r="J2" s="4"/>
      <c r="K2" s="2" t="s">
        <v>104</v>
      </c>
      <c r="L2" s="2" t="s">
        <v>131</v>
      </c>
      <c r="M2" s="2">
        <v>87.79</v>
      </c>
      <c r="N2" s="2">
        <v>31.25</v>
      </c>
      <c r="O2" s="2" t="s">
        <v>105</v>
      </c>
      <c r="P2" s="2">
        <v>500</v>
      </c>
      <c r="Q2" s="2">
        <v>22.94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106</v>
      </c>
      <c r="AR2" s="4" t="s">
        <v>147</v>
      </c>
      <c r="AS2" s="4"/>
      <c r="AT2" s="4"/>
      <c r="AU2" s="4" t="s">
        <v>107</v>
      </c>
      <c r="AV2" s="4">
        <v>5.5</v>
      </c>
      <c r="AW2" s="4" t="s">
        <v>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147</v>
      </c>
      <c r="BK2" s="4"/>
      <c r="BL2" s="4" t="s">
        <v>147</v>
      </c>
      <c r="BM2" s="4"/>
      <c r="BN2" s="2"/>
      <c r="BO2" s="2"/>
      <c r="BP2" s="4"/>
      <c r="BQ2" s="4" t="s">
        <v>147</v>
      </c>
      <c r="BR2" s="2"/>
    </row>
    <row r="3" spans="1:97" s="37" customFormat="1" x14ac:dyDescent="0.15">
      <c r="A3" s="2">
        <v>711</v>
      </c>
      <c r="B3" s="36">
        <v>41012</v>
      </c>
      <c r="C3" s="1" t="s">
        <v>108</v>
      </c>
      <c r="D3" s="2" t="s">
        <v>109</v>
      </c>
      <c r="E3" s="2"/>
      <c r="F3" s="2" t="s">
        <v>28</v>
      </c>
      <c r="G3" s="3">
        <v>40999</v>
      </c>
      <c r="H3" s="4" t="s">
        <v>70</v>
      </c>
      <c r="I3" s="4" t="s">
        <v>147</v>
      </c>
      <c r="J3" s="4"/>
      <c r="K3" s="2" t="s">
        <v>29</v>
      </c>
      <c r="L3" s="2" t="s">
        <v>30</v>
      </c>
      <c r="M3" s="2">
        <v>88</v>
      </c>
      <c r="N3" s="2">
        <v>23.64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106</v>
      </c>
      <c r="AR3" s="4" t="s">
        <v>147</v>
      </c>
      <c r="AS3" s="4"/>
      <c r="AT3" s="4"/>
      <c r="AU3" s="4" t="s">
        <v>107</v>
      </c>
      <c r="AV3" s="4">
        <v>5.5510000000000002</v>
      </c>
      <c r="AW3" s="4" t="s">
        <v>147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147</v>
      </c>
      <c r="BK3" s="4"/>
      <c r="BL3" s="4" t="s">
        <v>147</v>
      </c>
      <c r="BM3" s="4"/>
      <c r="BN3" s="2"/>
      <c r="BO3" s="2"/>
      <c r="BP3" s="4"/>
      <c r="BQ3" s="4" t="s">
        <v>147</v>
      </c>
      <c r="BR3" s="2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</row>
    <row r="4" spans="1:97" s="37" customFormat="1" x14ac:dyDescent="0.15">
      <c r="A4" s="2">
        <v>1636</v>
      </c>
      <c r="B4" s="36">
        <v>41013</v>
      </c>
      <c r="C4" s="1" t="s">
        <v>108</v>
      </c>
      <c r="D4" s="2" t="s">
        <v>109</v>
      </c>
      <c r="E4" s="2"/>
      <c r="F4" s="2" t="s">
        <v>31</v>
      </c>
      <c r="G4" s="3">
        <v>40724</v>
      </c>
      <c r="H4" s="4" t="s">
        <v>70</v>
      </c>
      <c r="I4" s="4" t="s">
        <v>147</v>
      </c>
      <c r="J4" s="4"/>
      <c r="K4" s="2" t="s">
        <v>104</v>
      </c>
      <c r="L4" s="2" t="s">
        <v>131</v>
      </c>
      <c r="M4" s="2">
        <v>107.73</v>
      </c>
      <c r="N4" s="2">
        <v>31.25</v>
      </c>
      <c r="O4" s="2" t="s">
        <v>105</v>
      </c>
      <c r="P4" s="2">
        <v>500</v>
      </c>
      <c r="Q4" s="2">
        <v>22.94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10.47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32</v>
      </c>
      <c r="AR4" s="4" t="s">
        <v>147</v>
      </c>
      <c r="AS4" s="4"/>
      <c r="AT4" s="4"/>
      <c r="AU4" s="4" t="s">
        <v>107</v>
      </c>
      <c r="AV4" s="4">
        <v>5.5</v>
      </c>
      <c r="AW4" s="4" t="s">
        <v>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147</v>
      </c>
      <c r="BK4" s="4"/>
      <c r="BL4" s="4" t="s">
        <v>147</v>
      </c>
      <c r="BM4" s="4"/>
      <c r="BN4" s="2"/>
      <c r="BO4" s="2"/>
      <c r="BP4" s="4"/>
      <c r="BQ4" s="4" t="s">
        <v>147</v>
      </c>
      <c r="BR4" s="2"/>
    </row>
    <row r="5" spans="1:97" s="37" customFormat="1" x14ac:dyDescent="0.15">
      <c r="A5" s="2">
        <v>710</v>
      </c>
      <c r="B5" s="36">
        <v>41012</v>
      </c>
      <c r="C5" s="1" t="s">
        <v>108</v>
      </c>
      <c r="D5" s="2" t="s">
        <v>109</v>
      </c>
      <c r="E5" s="2"/>
      <c r="F5" s="2" t="s">
        <v>31</v>
      </c>
      <c r="G5" s="3">
        <v>40999</v>
      </c>
      <c r="H5" s="4" t="s">
        <v>70</v>
      </c>
      <c r="I5" s="4" t="s">
        <v>147</v>
      </c>
      <c r="J5" s="4"/>
      <c r="K5" s="2" t="s">
        <v>29</v>
      </c>
      <c r="L5" s="2" t="s">
        <v>30</v>
      </c>
      <c r="M5" s="2">
        <v>118</v>
      </c>
      <c r="N5" s="2">
        <v>23.64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10.75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32</v>
      </c>
      <c r="AR5" s="4" t="s">
        <v>147</v>
      </c>
      <c r="AS5" s="4"/>
      <c r="AT5" s="4"/>
      <c r="AU5" s="4" t="s">
        <v>107</v>
      </c>
      <c r="AV5" s="4">
        <v>5.5510000000000002</v>
      </c>
      <c r="AW5" s="4" t="s">
        <v>147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147</v>
      </c>
      <c r="BK5" s="4"/>
      <c r="BL5" s="4" t="s">
        <v>147</v>
      </c>
      <c r="BM5" s="4"/>
      <c r="BN5" s="2"/>
      <c r="BO5" s="2"/>
      <c r="BP5" s="4"/>
      <c r="BQ5" s="4" t="s">
        <v>147</v>
      </c>
      <c r="BR5" s="2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</row>
    <row r="6" spans="1:97" s="37" customFormat="1" x14ac:dyDescent="0.15">
      <c r="A6" s="2">
        <v>1639</v>
      </c>
      <c r="B6" s="36">
        <v>41013</v>
      </c>
      <c r="C6" s="1" t="s">
        <v>108</v>
      </c>
      <c r="D6" s="2" t="s">
        <v>109</v>
      </c>
      <c r="E6" s="2"/>
      <c r="F6" s="2" t="s">
        <v>33</v>
      </c>
      <c r="G6" s="3">
        <v>40724</v>
      </c>
      <c r="H6" s="4" t="s">
        <v>70</v>
      </c>
      <c r="I6" s="4" t="s">
        <v>147</v>
      </c>
      <c r="J6" s="4"/>
      <c r="K6" s="2" t="s">
        <v>104</v>
      </c>
      <c r="L6" s="2" t="s">
        <v>131</v>
      </c>
      <c r="M6" s="2">
        <v>86.36</v>
      </c>
      <c r="N6" s="2">
        <v>24.55</v>
      </c>
      <c r="O6" s="2"/>
      <c r="P6" s="2"/>
      <c r="Q6" s="2"/>
      <c r="R6" s="2"/>
      <c r="S6" s="2"/>
      <c r="T6" s="2"/>
      <c r="U6" s="2"/>
      <c r="V6" s="2"/>
      <c r="W6" s="2">
        <v>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</v>
      </c>
      <c r="AJ6" s="2"/>
      <c r="AK6" s="2"/>
      <c r="AL6" s="2"/>
      <c r="AM6" s="2"/>
      <c r="AN6" s="2"/>
      <c r="AO6" s="2"/>
      <c r="AP6" s="2"/>
      <c r="AQ6" s="2" t="s">
        <v>34</v>
      </c>
      <c r="AR6" s="4" t="s">
        <v>147</v>
      </c>
      <c r="AS6" s="4"/>
      <c r="AT6" s="4"/>
      <c r="AU6" s="4" t="s">
        <v>107</v>
      </c>
      <c r="AV6" s="4">
        <v>5.5</v>
      </c>
      <c r="AW6" s="4" t="s">
        <v>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147</v>
      </c>
      <c r="BK6" s="4"/>
      <c r="BL6" s="4" t="s">
        <v>147</v>
      </c>
      <c r="BM6" s="4"/>
      <c r="BN6" s="2"/>
      <c r="BO6" s="2"/>
      <c r="BP6" s="4"/>
      <c r="BQ6" s="4" t="s">
        <v>147</v>
      </c>
      <c r="BR6" s="2"/>
    </row>
    <row r="7" spans="1:97" s="37" customFormat="1" x14ac:dyDescent="0.15">
      <c r="A7" s="2">
        <v>712</v>
      </c>
      <c r="B7" s="36">
        <v>41012</v>
      </c>
      <c r="C7" s="1" t="s">
        <v>108</v>
      </c>
      <c r="D7" s="2" t="s">
        <v>109</v>
      </c>
      <c r="E7" s="2"/>
      <c r="F7" s="2" t="s">
        <v>33</v>
      </c>
      <c r="G7" s="3">
        <v>40999</v>
      </c>
      <c r="H7" s="4" t="s">
        <v>70</v>
      </c>
      <c r="I7" s="4" t="s">
        <v>147</v>
      </c>
      <c r="J7" s="4"/>
      <c r="K7" s="2" t="s">
        <v>29</v>
      </c>
      <c r="L7" s="2" t="s">
        <v>30</v>
      </c>
      <c r="M7" s="2">
        <v>89</v>
      </c>
      <c r="N7" s="2">
        <v>25.5</v>
      </c>
      <c r="O7" s="2"/>
      <c r="P7" s="2"/>
      <c r="Q7" s="2"/>
      <c r="R7" s="2"/>
      <c r="S7" s="2"/>
      <c r="T7" s="2"/>
      <c r="U7" s="2"/>
      <c r="V7" s="2"/>
      <c r="W7" s="2">
        <v>7.32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15.85</v>
      </c>
      <c r="AJ7" s="2"/>
      <c r="AK7" s="2"/>
      <c r="AL7" s="2"/>
      <c r="AM7" s="2"/>
      <c r="AN7" s="2"/>
      <c r="AO7" s="2"/>
      <c r="AP7" s="2"/>
      <c r="AQ7" s="2" t="s">
        <v>34</v>
      </c>
      <c r="AR7" s="4" t="s">
        <v>147</v>
      </c>
      <c r="AS7" s="4"/>
      <c r="AT7" s="4"/>
      <c r="AU7" s="4" t="s">
        <v>107</v>
      </c>
      <c r="AV7" s="4">
        <v>5.5510000000000002</v>
      </c>
      <c r="AW7" s="4" t="s">
        <v>147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147</v>
      </c>
      <c r="BK7" s="4"/>
      <c r="BL7" s="4" t="s">
        <v>147</v>
      </c>
      <c r="BM7" s="4"/>
      <c r="BN7" s="2"/>
      <c r="BO7" s="2"/>
      <c r="BP7" s="4"/>
      <c r="BQ7" s="4" t="s">
        <v>147</v>
      </c>
      <c r="BR7" s="2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</row>
  </sheetData>
  <sheetProtection algorithmName="SHA-512" hashValue="nZeamhVsHo6IDbRA0XOVXVQimD5h5tRsrB5zr5BfOWlRFSDPVbxQoJW4XYrzJpph58SZ6n+zCJVea6YO0o0cNA==" saltValue="4eX3Mm28Bnev15WxGOL4Lg==" spinCount="100000" sheet="1" objects="1" scenarios="1"/>
  <sortState xmlns:xlrd2="http://schemas.microsoft.com/office/spreadsheetml/2017/richdata2" ref="A1:XFD1048576">
    <sortCondition ref="F2:F1048576"/>
    <sortCondition ref="K2:K1048576"/>
  </sortState>
  <phoneticPr fontId="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C3FC-21E2-794F-80FC-ACD25AF77C2A}">
  <sheetPr codeName="Sheet26">
    <tabColor theme="4" tint="0.79998168889431442"/>
  </sheetPr>
  <dimension ref="A1:AR64"/>
  <sheetViews>
    <sheetView zoomScaleNormal="100" zoomScalePageLayoutView="120" workbookViewId="0">
      <selection activeCell="Q1" sqref="Q1:T1048576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s="37" customFormat="1" ht="14" x14ac:dyDescent="0.15">
      <c r="A1" s="87" t="s">
        <v>149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</row>
    <row r="2" spans="1:44" s="37" customFormat="1" ht="14" x14ac:dyDescent="0.15">
      <c r="A2" s="89" t="s">
        <v>48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</row>
    <row r="3" spans="1:44" s="37" customFormat="1" ht="15" thickBot="1" x14ac:dyDescent="0.2">
      <c r="A3" s="87"/>
      <c r="B3" s="87"/>
      <c r="C3" s="87"/>
      <c r="D3" s="87"/>
      <c r="E3" s="87"/>
      <c r="F3" s="87"/>
      <c r="G3" s="90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</row>
    <row r="4" spans="1:44" ht="14" x14ac:dyDescent="0.15">
      <c r="A4" s="62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5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</row>
    <row r="5" spans="1:44" ht="14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</row>
    <row r="6" spans="1:44" ht="14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</row>
    <row r="7" spans="1:44" ht="75" x14ac:dyDescent="0.15">
      <c r="A7" s="251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1" t="s">
        <v>84</v>
      </c>
      <c r="G7" s="141" t="s">
        <v>85</v>
      </c>
      <c r="H7" s="141" t="s">
        <v>86</v>
      </c>
      <c r="I7" s="141" t="s">
        <v>87</v>
      </c>
      <c r="J7" s="252" t="s">
        <v>243</v>
      </c>
      <c r="K7" s="253" t="s">
        <v>61</v>
      </c>
      <c r="L7" s="142" t="s">
        <v>246</v>
      </c>
      <c r="M7" s="143" t="s">
        <v>62</v>
      </c>
      <c r="N7" s="143" t="s">
        <v>63</v>
      </c>
      <c r="O7" s="143" t="s">
        <v>64</v>
      </c>
      <c r="P7" s="143" t="s">
        <v>65</v>
      </c>
      <c r="Q7" s="254" t="s">
        <v>244</v>
      </c>
      <c r="R7" s="254" t="s">
        <v>245</v>
      </c>
      <c r="S7" s="255" t="s">
        <v>66</v>
      </c>
      <c r="T7" s="255" t="s">
        <v>67</v>
      </c>
      <c r="U7" s="144" t="s">
        <v>25</v>
      </c>
      <c r="V7" s="144" t="s">
        <v>26</v>
      </c>
      <c r="W7" s="143" t="s">
        <v>290</v>
      </c>
      <c r="X7" s="145" t="s">
        <v>291</v>
      </c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</row>
    <row r="8" spans="1:44" ht="14" x14ac:dyDescent="0.15">
      <c r="A8" s="182" t="str">
        <f>'TAS Apr 2022'!K2</f>
        <v>Aurora Energy</v>
      </c>
      <c r="B8" s="183" t="str">
        <f>'TAS Apr 2022'!L2</f>
        <v>Regulated</v>
      </c>
      <c r="C8" s="184">
        <f>IF('TAS Apr 2022'!BQ2=0,91*'TAS Apr 2022'!M2/100,(91*'TAS Apr 2022'!M2/100)+'TAS Apr 2022'!BQ2/4)</f>
        <v>75.48863636363636</v>
      </c>
      <c r="D8" s="184">
        <f>IF('TAS Apr 2022'!O2="",$C$5*'TAS Apr 2022'!N2/100,IF($C$5&gt;='TAS Apr 2022'!P2,('TAS Apr 2022'!P2*'TAS Apr 2022'!N2/100),($C$5*'TAS Apr 2022'!N2/100)))</f>
        <v>137.81818181818181</v>
      </c>
      <c r="E8" s="184">
        <f>IF(AND('TAS Apr 2022'!P2&gt;0,'TAS Apr 2022'!R2&gt;0),IF($C$5&lt;'TAS Apr 2022'!P2,0,IF($C$5&lt;=('TAS Apr 2022'!R2+'TAS Apr 2022'!P2),(($C$5-'TAS Apr 2022'!P2)*'TAS Apr 2022'!Q2/100),(('TAS Apr 2022'!R2)*'TAS Apr 2022'!Q2/100))),0)</f>
        <v>0</v>
      </c>
      <c r="F8" s="184">
        <f>IF(AND('TAS Apr 2022'!Q2&gt;0,'TAS Apr 2022'!S2&gt;0),IF($C$5&lt;('TAS Apr 2022'!R2+'TAS Apr 2022'!P2),0,IF($C$5&lt;=('TAS Apr 2022'!T2+'TAS Apr 2022'!R2+'TAS Apr 2022'!P2),(($C$5-('TAS Apr 2022'!R2+'TAS Apr 2022'!P2))*'TAS Apr 2022'!S2/100),('TAS Apr 2022'!T2*'TAS Apr 2022'!S2/100))),0)</f>
        <v>0</v>
      </c>
      <c r="G8" s="185">
        <v>0</v>
      </c>
      <c r="H8" s="184">
        <f>IF(AND('TAS Apr 2022'!R2&gt;0,'TAS Apr 2022'!T2&gt;0),IF(($C$5&lt;'TAS Apr 2022'!T2),(0),($C$5-'TAS Apr 2022'!T2)*'TAS Apr 2022'!U2/100),IF(AND('TAS Apr 2022'!R2&gt;0,'TAS Apr 2022'!T2=""),IF(($C$5&lt;'TAS Apr 2022'!R2+'TAS Apr 2022'!P2),(0),(($C$5-('TAS Apr 2022'!R2+'TAS Apr 2022'!P2))*'TAS Apr 2022'!S2/100)),IF(AND('TAS Apr 2022'!P2&gt;0,'TAS Apr 2022'!R2=""&gt;0),IF(($C$5&lt;'TAS Apr 2022'!P2),(0),($C$5-'TAS Apr 2022'!P2)*'TAS Apr 2022'!Q2/100),0)))</f>
        <v>917.59090909090912</v>
      </c>
      <c r="I8" s="187">
        <f>SUM(C8:H8)</f>
        <v>1130.8977272727273</v>
      </c>
      <c r="J8" s="187">
        <f>(I8-C8)*4</f>
        <v>4221.636363636364</v>
      </c>
      <c r="K8" s="187">
        <f>I8*4</f>
        <v>4523.590909090909</v>
      </c>
      <c r="L8" s="188">
        <f>K8*1.1</f>
        <v>4975.9500000000007</v>
      </c>
      <c r="M8" s="189">
        <f>'TAS Apr 2022'!BC2</f>
        <v>0</v>
      </c>
      <c r="N8" s="189">
        <f>'TAS Apr 2022'!BD2</f>
        <v>0</v>
      </c>
      <c r="O8" s="189">
        <f>'TAS Apr 2022'!BE2</f>
        <v>0</v>
      </c>
      <c r="P8" s="189">
        <f>'TAS Apr 2022'!BF2</f>
        <v>0</v>
      </c>
      <c r="Q8" s="189" t="str">
        <f>IF(SUM(M8:P8)=0,"No discount",IF(M8&gt;0,"Guaranteed off bill",IF(N8&gt;0,"Guaranteed off usage",IF(O8&gt;0,"Pay-on-time off bill","Pay-on-time off usage"))))</f>
        <v>No discount</v>
      </c>
      <c r="R8" s="189" t="str">
        <f t="shared" ref="R8:R13" si="0">IF(OR(A8="Origin Energy",A8="Red Energy",A8="Powershop"),"Inclusive","Exclusive")</f>
        <v>Exclusive</v>
      </c>
      <c r="S8" s="22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4523.590909090909</v>
      </c>
      <c r="T8" s="22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4523.590909090909</v>
      </c>
      <c r="U8" s="188">
        <f t="shared" ref="U8:V13" si="1">S8*1.1</f>
        <v>4975.9500000000007</v>
      </c>
      <c r="V8" s="188">
        <f t="shared" si="1"/>
        <v>4975.9500000000007</v>
      </c>
      <c r="W8" s="190">
        <f>'TAS Apr 2022'!BR2</f>
        <v>0</v>
      </c>
      <c r="X8" s="191">
        <f>'TAS Apr 2022'!BO2</f>
        <v>0</v>
      </c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</row>
    <row r="9" spans="1:44" ht="14" x14ac:dyDescent="0.15">
      <c r="A9" s="150" t="str">
        <f>'TAS Apr 2022'!K3</f>
        <v>1st Energy</v>
      </c>
      <c r="B9" s="159" t="str">
        <f>'TAS Apr 2022'!L3</f>
        <v>1st Saver</v>
      </c>
      <c r="C9" s="124">
        <f>IF('TAS Apr 2022'!BQ3=0,91*'TAS Apr 2022'!M3/100,(91*'TAS Apr 2022'!M3/100)+'TAS Apr 2022'!BQ3/4)</f>
        <v>74.727545454545449</v>
      </c>
      <c r="D9" s="124">
        <f>IF('TAS Apr 2022'!O3="",$C$5*'TAS Apr 2022'!N3/100,IF($C$5&gt;='TAS Apr 2022'!P3,('TAS Apr 2022'!P3*'TAS Apr 2022'!N3/100),($C$5*'TAS Apr 2022'!N3/100)))</f>
        <v>130.90909090909091</v>
      </c>
      <c r="E9" s="124">
        <f>IF(AND('TAS Apr 2022'!P3&gt;0,'TAS Apr 2022'!R3&gt;0),IF($C$5&lt;'TAS Apr 2022'!P3,0,IF($C$5&lt;=('TAS Apr 2022'!R3+'TAS Apr 2022'!P3),(($C$5-'TAS Apr 2022'!P3)*'TAS Apr 2022'!Q3/100),(('TAS Apr 2022'!R3)*'TAS Apr 2022'!Q3/100))),0)</f>
        <v>0</v>
      </c>
      <c r="F9" s="124">
        <f>IF(AND('TAS Apr 2022'!Q3&gt;0,'TAS Apr 2022'!S3&gt;0),IF($C$5&lt;('TAS Apr 2022'!R3+'TAS Apr 2022'!P3),0,IF($C$5&lt;=('TAS Apr 2022'!T3+'TAS Apr 2022'!R3+'TAS Apr 2022'!P3),(($C$5-('TAS Apr 2022'!R3+'TAS Apr 2022'!P3))*'TAS Apr 2022'!S3/100),('TAS Apr 2022'!T3*'TAS Apr 2022'!S3/100))),0)</f>
        <v>0</v>
      </c>
      <c r="G9" s="126">
        <v>0</v>
      </c>
      <c r="H9" s="124">
        <f>IF(AND('TAS Apr 2022'!R3&gt;0,'TAS Apr 2022'!T3&gt;0),IF(($C$5&lt;'TAS Apr 2022'!T3),(0),($C$5-'TAS Apr 2022'!T3)*'TAS Apr 2022'!U3/100),IF(AND('TAS Apr 2022'!R3&gt;0,'TAS Apr 2022'!T3=""),IF(($C$5&lt;'TAS Apr 2022'!R3+'TAS Apr 2022'!P3),(0),(($C$5-('TAS Apr 2022'!R3+'TAS Apr 2022'!P3))*'TAS Apr 2022'!S3/100)),IF(AND('TAS Apr 2022'!P3&gt;0,'TAS Apr 2022'!R3=""&gt;0),IF(($C$5&lt;'TAS Apr 2022'!P3),(0),($C$5-'TAS Apr 2022'!P3)*'TAS Apr 2022'!Q3/100),0)))</f>
        <v>871.36363636363637</v>
      </c>
      <c r="I9" s="128">
        <f>SUM(C9:H9)</f>
        <v>1077.0002727272727</v>
      </c>
      <c r="J9" s="128">
        <f>(I9-C9)*4</f>
        <v>4009.090909090909</v>
      </c>
      <c r="K9" s="128">
        <f>I9*4</f>
        <v>4308.0010909090906</v>
      </c>
      <c r="L9" s="129">
        <f>K9*1.1</f>
        <v>4738.8011999999999</v>
      </c>
      <c r="M9" s="123">
        <f>'TAS Apr 2022'!BC3</f>
        <v>0</v>
      </c>
      <c r="N9" s="123">
        <f>'TAS Apr 2022'!BD3</f>
        <v>0</v>
      </c>
      <c r="O9" s="123">
        <f>'TAS Apr 2022'!BE3</f>
        <v>0</v>
      </c>
      <c r="P9" s="123">
        <f>'TAS Apr 2022'!BF3</f>
        <v>5</v>
      </c>
      <c r="Q9" s="123" t="str">
        <f>IF(SUM(M9:P9)=0,"No discount",IF(M9&gt;0,"Guaranteed off bill",IF(N9&gt;0,"Guaranteed off usage",IF(O9&gt;0,"Pay-on-time off bill","Pay-on-time off usage"))))</f>
        <v>Pay-on-time off usage</v>
      </c>
      <c r="R9" s="123" t="str">
        <f t="shared" si="0"/>
        <v>Exclusive</v>
      </c>
      <c r="S9" s="272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4308.0010909090906</v>
      </c>
      <c r="T9" s="273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4107.5465454545456</v>
      </c>
      <c r="U9" s="129">
        <f t="shared" si="1"/>
        <v>4738.8011999999999</v>
      </c>
      <c r="V9" s="129">
        <f t="shared" si="1"/>
        <v>4518.3012000000008</v>
      </c>
      <c r="W9" s="294">
        <f>'TAS Apr 2022'!BR3</f>
        <v>0</v>
      </c>
      <c r="X9" s="295">
        <f>'TAS Apr 2022'!BO3</f>
        <v>12</v>
      </c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</row>
    <row r="10" spans="1:44" ht="14" x14ac:dyDescent="0.15">
      <c r="A10" s="150" t="str">
        <f>'TAS Apr 2022'!K4</f>
        <v>Future X Power</v>
      </c>
      <c r="B10" s="159" t="str">
        <f>'TAS Apr 2022'!L4</f>
        <v>Flexi Saver</v>
      </c>
      <c r="C10" s="124">
        <f>IF('TAS Apr 2022'!BQ4=0,91*'TAS Apr 2022'!M4/100,(91*'TAS Apr 2022'!M4/100)+'TAS Apr 2022'!BQ4/4)</f>
        <v>85.995000000000005</v>
      </c>
      <c r="D10" s="124">
        <f>IF('TAS Apr 2022'!O4="",$C$5*'TAS Apr 2022'!N4/100,IF($C$5&gt;='TAS Apr 2022'!P4,('TAS Apr 2022'!P4*'TAS Apr 2022'!N4/100),($C$5*'TAS Apr 2022'!N4/100)))</f>
        <v>156.99999999999997</v>
      </c>
      <c r="E10" s="124">
        <f>IF(AND('TAS Apr 2022'!P4&gt;0,'TAS Apr 2022'!R4&gt;0),IF($C$5&lt;'TAS Apr 2022'!P4,0,IF($C$5&lt;=('TAS Apr 2022'!R4+'TAS Apr 2022'!P4),(($C$5-'TAS Apr 2022'!P4)*'TAS Apr 2022'!Q4/100),(('TAS Apr 2022'!R4)*'TAS Apr 2022'!Q4/100))),0)</f>
        <v>0</v>
      </c>
      <c r="F10" s="124">
        <f>IF(AND('TAS Apr 2022'!Q4&gt;0,'TAS Apr 2022'!S4&gt;0),IF($C$5&lt;('TAS Apr 2022'!R4+'TAS Apr 2022'!P4),0,IF($C$5&lt;=('TAS Apr 2022'!T4+'TAS Apr 2022'!R4+'TAS Apr 2022'!P4),(($C$5-('TAS Apr 2022'!R4+'TAS Apr 2022'!P4))*'TAS Apr 2022'!S4/100),('TAS Apr 2022'!T4*'TAS Apr 2022'!S4/100))),0)</f>
        <v>0</v>
      </c>
      <c r="G10" s="126">
        <v>0</v>
      </c>
      <c r="H10" s="124">
        <f>IF(AND('TAS Apr 2022'!R4&gt;0,'TAS Apr 2022'!T4&gt;0),IF(($C$5&lt;'TAS Apr 2022'!T4),(0),($C$5-'TAS Apr 2022'!T4)*'TAS Apr 2022'!U4/100),IF(AND('TAS Apr 2022'!R4&gt;0,'TAS Apr 2022'!T4=""),IF(($C$5&lt;'TAS Apr 2022'!R4+'TAS Apr 2022'!P4),(0),(($C$5-('TAS Apr 2022'!R4+'TAS Apr 2022'!P4))*'TAS Apr 2022'!S4/100)),IF(AND('TAS Apr 2022'!P4&gt;0,'TAS Apr 2022'!R4=""&gt;0),IF(($C$5&lt;'TAS Apr 2022'!P4),(0),($C$5-'TAS Apr 2022'!P4)*'TAS Apr 2022'!Q4/100),0)))</f>
        <v>1044</v>
      </c>
      <c r="I10" s="128">
        <f>SUM(C10:H10)</f>
        <v>1286.9949999999999</v>
      </c>
      <c r="J10" s="128">
        <f>(I10-C10)*4</f>
        <v>4804</v>
      </c>
      <c r="K10" s="128">
        <f>I10*4</f>
        <v>5147.9799999999996</v>
      </c>
      <c r="L10" s="129">
        <f>K10*1.1</f>
        <v>5662.7780000000002</v>
      </c>
      <c r="M10" s="123">
        <f>'TAS Apr 2022'!BC4</f>
        <v>0</v>
      </c>
      <c r="N10" s="123">
        <f>'TAS Apr 2022'!BD4</f>
        <v>0</v>
      </c>
      <c r="O10" s="123">
        <f>'TAS Apr 2022'!BE4</f>
        <v>3</v>
      </c>
      <c r="P10" s="123">
        <f>'TAS Apr 2022'!BF4</f>
        <v>0</v>
      </c>
      <c r="Q10" s="123" t="str">
        <f>IF(SUM(M10:P10)=0,"No discount",IF(M10&gt;0,"Guaranteed off bill",IF(N10&gt;0,"Guaranteed off usage",IF(O10&gt;0,"Pay-on-time off bill","Pay-on-time off usage"))))</f>
        <v>Pay-on-time off bill</v>
      </c>
      <c r="R10" s="123" t="str">
        <f t="shared" si="0"/>
        <v>Exclusive</v>
      </c>
      <c r="S10" s="272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5147.9799999999996</v>
      </c>
      <c r="T10" s="273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4993.5405999999994</v>
      </c>
      <c r="U10" s="129">
        <f t="shared" si="1"/>
        <v>5662.7780000000002</v>
      </c>
      <c r="V10" s="129">
        <f t="shared" si="1"/>
        <v>5492.8946599999999</v>
      </c>
      <c r="W10" s="294">
        <f>'TAS Apr 2022'!BR4</f>
        <v>0</v>
      </c>
      <c r="X10" s="295">
        <f>'TAS Apr 2022'!BO4</f>
        <v>0</v>
      </c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</row>
    <row r="11" spans="1:44" ht="14" x14ac:dyDescent="0.15">
      <c r="A11" s="150" t="str">
        <f>'TAS Apr 2022'!K5</f>
        <v>CovaU</v>
      </c>
      <c r="B11" s="159" t="str">
        <f>'TAS Apr 2022'!L5</f>
        <v>Freedom Online</v>
      </c>
      <c r="C11" s="124">
        <f>IF('TAS Apr 2022'!BQ5=0,91*'TAS Apr 2022'!M5/100,(91*'TAS Apr 2022'!M5/100)+'TAS Apr 2022'!BQ5/4)</f>
        <v>75.48863636363636</v>
      </c>
      <c r="D11" s="124">
        <f>IF('TAS Apr 2022'!O5="",$C$5*'TAS Apr 2022'!N5/100,IF($C$5&gt;='TAS Apr 2022'!P5,('TAS Apr 2022'!P5*'TAS Apr 2022'!N5/100),($C$5*'TAS Apr 2022'!N5/100)))</f>
        <v>137.81818181818181</v>
      </c>
      <c r="E11" s="124">
        <f>IF(AND('TAS Apr 2022'!P5&gt;0,'TAS Apr 2022'!R5&gt;0),IF($C$5&lt;'TAS Apr 2022'!P5,0,IF($C$5&lt;=('TAS Apr 2022'!R5+'TAS Apr 2022'!P5),(($C$5-'TAS Apr 2022'!P5)*'TAS Apr 2022'!Q5/100),(('TAS Apr 2022'!R5)*'TAS Apr 2022'!Q5/100))),0)</f>
        <v>0</v>
      </c>
      <c r="F11" s="124">
        <f>IF(AND('TAS Apr 2022'!Q5&gt;0,'TAS Apr 2022'!S5&gt;0),IF($C$5&lt;('TAS Apr 2022'!R5+'TAS Apr 2022'!P5),0,IF($C$5&lt;=('TAS Apr 2022'!T5+'TAS Apr 2022'!R5+'TAS Apr 2022'!P5),(($C$5-('TAS Apr 2022'!R5+'TAS Apr 2022'!P5))*'TAS Apr 2022'!S5/100),('TAS Apr 2022'!T5*'TAS Apr 2022'!S5/100))),0)</f>
        <v>0</v>
      </c>
      <c r="G11" s="126">
        <v>0</v>
      </c>
      <c r="H11" s="124">
        <f>IF(AND('TAS Apr 2022'!R5&gt;0,'TAS Apr 2022'!T5&gt;0),IF(($C$5&lt;'TAS Apr 2022'!T5),(0),($C$5-'TAS Apr 2022'!T5)*'TAS Apr 2022'!U5/100),IF(AND('TAS Apr 2022'!R5&gt;0,'TAS Apr 2022'!T5=""),IF(($C$5&lt;'TAS Apr 2022'!R5+'TAS Apr 2022'!P5),(0),(($C$5-('TAS Apr 2022'!R5+'TAS Apr 2022'!P5))*'TAS Apr 2022'!S5/100)),IF(AND('TAS Apr 2022'!P5&gt;0,'TAS Apr 2022'!R5=""&gt;0),IF(($C$5&lt;'TAS Apr 2022'!P5),(0),($C$5-'TAS Apr 2022'!P5)*'TAS Apr 2022'!Q5/100),0)))</f>
        <v>917.59090909090912</v>
      </c>
      <c r="I11" s="128">
        <f t="shared" ref="I11:I13" si="2">SUM(C11:H11)</f>
        <v>1130.8977272727273</v>
      </c>
      <c r="J11" s="128">
        <f t="shared" ref="J11:J13" si="3">(I11-C11)*4</f>
        <v>4221.636363636364</v>
      </c>
      <c r="K11" s="128">
        <f t="shared" ref="K11:K13" si="4">I11*4</f>
        <v>4523.590909090909</v>
      </c>
      <c r="L11" s="129">
        <f t="shared" ref="L11:L13" si="5">K11*1.1</f>
        <v>4975.9500000000007</v>
      </c>
      <c r="M11" s="123">
        <f>'TAS Apr 2022'!BC5</f>
        <v>0</v>
      </c>
      <c r="N11" s="123">
        <f>'TAS Apr 2022'!BD5</f>
        <v>5</v>
      </c>
      <c r="O11" s="123">
        <f>'TAS Apr 2022'!BE5</f>
        <v>0</v>
      </c>
      <c r="P11" s="123">
        <f>'TAS Apr 2022'!BF5</f>
        <v>0</v>
      </c>
      <c r="Q11" s="123" t="str">
        <f t="shared" ref="Q11:Q13" si="6">IF(SUM(M11:P11)=0,"No discount",IF(M11&gt;0,"Guaranteed off bill",IF(N11&gt;0,"Guaranteed off usage",IF(O11&gt;0,"Pay-on-time off bill","Pay-on-time off usage"))))</f>
        <v>Guaranteed off usage</v>
      </c>
      <c r="R11" s="123" t="str">
        <f t="shared" si="0"/>
        <v>Exclusive</v>
      </c>
      <c r="S11" s="272">
        <f t="shared" ref="S11:S13" si="7">IF(AND(Q11="Guaranteed off bill",R11="Inclusive"),((K11*1.1)-((K11*1.1)*M11/100))/1.1,IF(AND(Q11="Guaranteed off usage",R11="Inclusive"),((K11*1.1)-((J11*1.1)*N11/100))/1.1,IF(AND(Q11="Guaranteed off bill",R11="Exclusive"),K11-(K11*M11/100),IF(AND(Q11="Guaranteed off usage",R11="Exclusive"),K11-(J11*N11/100),IF(R11="Inclusive",((K11*1.1))/1.1,K11)))))</f>
        <v>4312.5090909090904</v>
      </c>
      <c r="T11" s="273">
        <f t="shared" ref="T11:T13" si="8">IF(AND(Q11="Pay-on-time off bill",R11="Inclusive"),((S11*1.1)-((S11*1.1)*O11/100))/1.1,IF(AND(Q11="Pay-on-time off usage",R11="Inclusive"),((S11*1.1)-((J11*1.1)*P11/100))/1.1,IF(AND(Q11="Pay-on-time off bill",R11="Exclusive"),S11-(S11*O11/100),IF(AND(Q11="Pay-on-time off usage",R11="Exclusive"),S11-(J11*P11/100),IF(R11="Inclusive",((S11*1.1))/1.1,S11)))))</f>
        <v>4312.5090909090904</v>
      </c>
      <c r="U11" s="129">
        <f t="shared" si="1"/>
        <v>4743.76</v>
      </c>
      <c r="V11" s="129">
        <f t="shared" si="1"/>
        <v>4743.76</v>
      </c>
      <c r="W11" s="294">
        <f>'TAS Apr 2022'!BR5</f>
        <v>0</v>
      </c>
      <c r="X11" s="295">
        <f>'TAS Apr 2022'!BO5</f>
        <v>0</v>
      </c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</row>
    <row r="12" spans="1:44" ht="14" x14ac:dyDescent="0.15">
      <c r="A12" s="150" t="str">
        <f>'TAS Apr 2022'!K6</f>
        <v>Energy Locals</v>
      </c>
      <c r="B12" s="159" t="str">
        <f>'TAS Apr 2022'!L6</f>
        <v>Business Member</v>
      </c>
      <c r="C12" s="124">
        <f>IF('TAS Apr 2022'!BQ6=0,91*'TAS Apr 2022'!M6/100,(91*'TAS Apr 2022'!M6/100)+'TAS Apr 2022'!BQ6/4)</f>
        <v>111.21363636363635</v>
      </c>
      <c r="D12" s="124">
        <f>IF('TAS Apr 2022'!O6="",$C$5*'TAS Apr 2022'!N6/100,IF($C$5&gt;='TAS Apr 2022'!P6,('TAS Apr 2022'!P6*'TAS Apr 2022'!N6/100),($C$5*'TAS Apr 2022'!N6/100)))</f>
        <v>127.72727272727272</v>
      </c>
      <c r="E12" s="124">
        <f>IF(AND('TAS Apr 2022'!P6&gt;0,'TAS Apr 2022'!R6&gt;0),IF($C$5&lt;'TAS Apr 2022'!P6,0,IF($C$5&lt;=('TAS Apr 2022'!R6+'TAS Apr 2022'!P6),(($C$5-'TAS Apr 2022'!P6)*'TAS Apr 2022'!Q6/100),(('TAS Apr 2022'!R6)*'TAS Apr 2022'!Q6/100))),0)</f>
        <v>0</v>
      </c>
      <c r="F12" s="124">
        <f>IF(AND('TAS Apr 2022'!Q6&gt;0,'TAS Apr 2022'!S6&gt;0),IF($C$5&lt;('TAS Apr 2022'!R6+'TAS Apr 2022'!P6),0,IF($C$5&lt;=('TAS Apr 2022'!T6+'TAS Apr 2022'!R6+'TAS Apr 2022'!P6),(($C$5-('TAS Apr 2022'!R6+'TAS Apr 2022'!P6))*'TAS Apr 2022'!S6/100),('TAS Apr 2022'!T6*'TAS Apr 2022'!S6/100))),0)</f>
        <v>0</v>
      </c>
      <c r="G12" s="126">
        <v>0</v>
      </c>
      <c r="H12" s="124">
        <f>IF(AND('TAS Apr 2022'!R6&gt;0,'TAS Apr 2022'!T6&gt;0),IF(($C$5&lt;'TAS Apr 2022'!T6),(0),($C$5-'TAS Apr 2022'!T6)*'TAS Apr 2022'!U6/100),IF(AND('TAS Apr 2022'!R6&gt;0,'TAS Apr 2022'!T6=""),IF(($C$5&lt;'TAS Apr 2022'!R6+'TAS Apr 2022'!P6),(0),(($C$5-('TAS Apr 2022'!R6+'TAS Apr 2022'!P6))*'TAS Apr 2022'!S6/100)),IF(AND('TAS Apr 2022'!P6&gt;0,'TAS Apr 2022'!R6=""&gt;0),IF(($C$5&lt;'TAS Apr 2022'!P6),(0),($C$5-'TAS Apr 2022'!P6)*'TAS Apr 2022'!Q6/100),0)))</f>
        <v>850.90909090909076</v>
      </c>
      <c r="I12" s="128">
        <f t="shared" si="2"/>
        <v>1089.8499999999999</v>
      </c>
      <c r="J12" s="128">
        <f t="shared" si="3"/>
        <v>3914.545454545454</v>
      </c>
      <c r="K12" s="128">
        <f t="shared" si="4"/>
        <v>4359.3999999999996</v>
      </c>
      <c r="L12" s="129">
        <f t="shared" si="5"/>
        <v>4795.34</v>
      </c>
      <c r="M12" s="123">
        <f>'TAS Apr 2022'!BC6</f>
        <v>0</v>
      </c>
      <c r="N12" s="123">
        <f>'TAS Apr 2022'!BD6</f>
        <v>0</v>
      </c>
      <c r="O12" s="123">
        <f>'TAS Apr 2022'!BE6</f>
        <v>0</v>
      </c>
      <c r="P12" s="123">
        <f>'TAS Apr 2022'!BF6</f>
        <v>0</v>
      </c>
      <c r="Q12" s="123" t="str">
        <f t="shared" si="6"/>
        <v>No discount</v>
      </c>
      <c r="R12" s="123" t="str">
        <f t="shared" si="0"/>
        <v>Exclusive</v>
      </c>
      <c r="S12" s="272">
        <f t="shared" si="7"/>
        <v>4359.3999999999996</v>
      </c>
      <c r="T12" s="273">
        <f t="shared" si="8"/>
        <v>4359.3999999999996</v>
      </c>
      <c r="U12" s="129">
        <f t="shared" si="1"/>
        <v>4795.34</v>
      </c>
      <c r="V12" s="129">
        <f t="shared" si="1"/>
        <v>4795.34</v>
      </c>
      <c r="W12" s="294">
        <f>'TAS Apr 2022'!BR6</f>
        <v>0</v>
      </c>
      <c r="X12" s="295">
        <f>'TAS Apr 2022'!BO6</f>
        <v>0</v>
      </c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</row>
    <row r="13" spans="1:44" ht="15" thickBot="1" x14ac:dyDescent="0.2">
      <c r="A13" s="153" t="str">
        <f>'TAS Apr 2022'!K7</f>
        <v>GlowPower</v>
      </c>
      <c r="B13" s="160" t="str">
        <f>'TAS Apr 2022'!L7</f>
        <v xml:space="preserve">Business </v>
      </c>
      <c r="C13" s="133">
        <f>IF('TAS Apr 2022'!BQ7=0,91*'TAS Apr 2022'!M7/100,(91*'TAS Apr 2022'!M7/100)+'TAS Apr 2022'!BQ7/4)</f>
        <v>75.36454545454545</v>
      </c>
      <c r="D13" s="133">
        <f>IF('TAS Apr 2022'!O7="",$C$5*'TAS Apr 2022'!N7/100,IF($C$5&gt;='TAS Apr 2022'!P7,('TAS Apr 2022'!P7*'TAS Apr 2022'!N7/100),($C$5*'TAS Apr 2022'!N7/100)))</f>
        <v>1045.4545454545453</v>
      </c>
      <c r="E13" s="133">
        <f>IF(AND('TAS Apr 2022'!P7&gt;0,'TAS Apr 2022'!R7&gt;0),IF($C$5&lt;'TAS Apr 2022'!P7,0,IF($C$5&lt;=('TAS Apr 2022'!R7+'TAS Apr 2022'!P7),(($C$5-'TAS Apr 2022'!P7)*'TAS Apr 2022'!Q7/100),(('TAS Apr 2022'!R7)*'TAS Apr 2022'!Q7/100))),0)</f>
        <v>0</v>
      </c>
      <c r="F13" s="133">
        <f>IF(AND('TAS Apr 2022'!Q7&gt;0,'TAS Apr 2022'!S7&gt;0),IF($C$5&lt;('TAS Apr 2022'!R7+'TAS Apr 2022'!P7),0,IF($C$5&lt;=('TAS Apr 2022'!T7+'TAS Apr 2022'!R7+'TAS Apr 2022'!P7),(($C$5-('TAS Apr 2022'!R7+'TAS Apr 2022'!P7))*'TAS Apr 2022'!S7/100),('TAS Apr 2022'!T7*'TAS Apr 2022'!S7/100))),0)</f>
        <v>0</v>
      </c>
      <c r="G13" s="135">
        <v>0</v>
      </c>
      <c r="H13" s="133">
        <f>IF(AND('TAS Apr 2022'!R7&gt;0,'TAS Apr 2022'!T7&gt;0),IF(($C$5&lt;'TAS Apr 2022'!T7),(0),($C$5-'TAS Apr 2022'!T7)*'TAS Apr 2022'!U7/100),IF(AND('TAS Apr 2022'!R7&gt;0,'TAS Apr 2022'!T7=""),IF(($C$5&lt;'TAS Apr 2022'!R7+'TAS Apr 2022'!P7),(0),(($C$5-('TAS Apr 2022'!R7+'TAS Apr 2022'!P7))*'TAS Apr 2022'!S7/100)),IF(AND('TAS Apr 2022'!P7&gt;0,'TAS Apr 2022'!R7=""&gt;0),IF(($C$5&lt;'TAS Apr 2022'!P7),(0),($C$5-'TAS Apr 2022'!P7)*'TAS Apr 2022'!Q7/100),0)))</f>
        <v>0</v>
      </c>
      <c r="I13" s="137">
        <f t="shared" si="2"/>
        <v>1120.8190909090906</v>
      </c>
      <c r="J13" s="137">
        <f t="shared" si="3"/>
        <v>4181.8181818181811</v>
      </c>
      <c r="K13" s="137">
        <f t="shared" si="4"/>
        <v>4483.2763636363625</v>
      </c>
      <c r="L13" s="138">
        <f t="shared" si="5"/>
        <v>4931.6039999999994</v>
      </c>
      <c r="M13" s="132">
        <f>'TAS Apr 2022'!BC7</f>
        <v>0</v>
      </c>
      <c r="N13" s="132">
        <f>'TAS Apr 2022'!BD7</f>
        <v>0</v>
      </c>
      <c r="O13" s="132">
        <f>'TAS Apr 2022'!BE7</f>
        <v>0</v>
      </c>
      <c r="P13" s="132">
        <f>'TAS Apr 2022'!BF7</f>
        <v>0</v>
      </c>
      <c r="Q13" s="132" t="str">
        <f t="shared" si="6"/>
        <v>No discount</v>
      </c>
      <c r="R13" s="132" t="str">
        <f t="shared" si="0"/>
        <v>Exclusive</v>
      </c>
      <c r="S13" s="221">
        <f t="shared" si="7"/>
        <v>4483.2763636363625</v>
      </c>
      <c r="T13" s="222">
        <f t="shared" si="8"/>
        <v>4483.2763636363625</v>
      </c>
      <c r="U13" s="138">
        <f t="shared" si="1"/>
        <v>4931.6039999999994</v>
      </c>
      <c r="V13" s="138">
        <f t="shared" si="1"/>
        <v>4931.6039999999994</v>
      </c>
      <c r="W13" s="296">
        <f>'TAS Apr 2022'!BR7</f>
        <v>0</v>
      </c>
      <c r="X13" s="297">
        <f>'TAS Apr 2022'!BO7</f>
        <v>0</v>
      </c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</row>
    <row r="14" spans="1:44" ht="14" x14ac:dyDescent="0.1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300"/>
      <c r="U14" s="300"/>
      <c r="V14" s="300"/>
      <c r="W14" s="300"/>
      <c r="X14" s="300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</row>
    <row r="15" spans="1:44" ht="15" thickBot="1" x14ac:dyDescent="0.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91"/>
      <c r="U15" s="91"/>
      <c r="V15" s="91"/>
      <c r="W15" s="91"/>
      <c r="X15" s="91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</row>
    <row r="16" spans="1:44" ht="14" x14ac:dyDescent="0.15">
      <c r="A16" s="62" t="s">
        <v>96</v>
      </c>
      <c r="B16" s="63"/>
      <c r="C16" s="63"/>
      <c r="D16" s="79"/>
      <c r="E16" s="79"/>
      <c r="F16" s="79"/>
      <c r="G16" s="79"/>
      <c r="H16" s="79"/>
      <c r="I16" s="80"/>
      <c r="J16" s="80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5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</row>
    <row r="17" spans="1:44" ht="14" x14ac:dyDescent="0.15">
      <c r="A17" s="66" t="s">
        <v>79</v>
      </c>
      <c r="B17" s="64"/>
      <c r="C17" s="85">
        <v>5000</v>
      </c>
      <c r="D17" s="81"/>
      <c r="E17" s="81"/>
      <c r="F17" s="81"/>
      <c r="G17" s="81"/>
      <c r="H17" s="81"/>
      <c r="I17" s="82"/>
      <c r="J17" s="82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</row>
    <row r="18" spans="1:44" ht="14" x14ac:dyDescent="0.15">
      <c r="A18" s="66" t="s">
        <v>97</v>
      </c>
      <c r="B18" s="64"/>
      <c r="C18" s="86">
        <v>0.7</v>
      </c>
      <c r="D18" s="81"/>
      <c r="E18" s="81"/>
      <c r="F18" s="81"/>
      <c r="G18" s="81"/>
      <c r="H18" s="81"/>
      <c r="I18" s="82"/>
      <c r="J18" s="82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</row>
    <row r="19" spans="1:44" ht="14" x14ac:dyDescent="0.15">
      <c r="A19" s="66" t="s">
        <v>148</v>
      </c>
      <c r="B19" s="64"/>
      <c r="C19" s="86">
        <v>0.3</v>
      </c>
      <c r="D19" s="81"/>
      <c r="E19" s="81"/>
      <c r="F19" s="81"/>
      <c r="G19" s="81"/>
      <c r="H19" s="81"/>
      <c r="I19" s="82"/>
      <c r="J19" s="82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</row>
    <row r="20" spans="1:44" ht="14" x14ac:dyDescent="0.15">
      <c r="A20" s="66"/>
      <c r="B20" s="64"/>
      <c r="C20" s="81"/>
      <c r="D20" s="81"/>
      <c r="E20" s="81"/>
      <c r="F20" s="81"/>
      <c r="G20" s="81"/>
      <c r="H20" s="81"/>
      <c r="I20" s="82"/>
      <c r="J20" s="82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</row>
    <row r="21" spans="1:44" ht="75" x14ac:dyDescent="0.15">
      <c r="A21" s="251" t="s">
        <v>73</v>
      </c>
      <c r="B21" s="147" t="s">
        <v>80</v>
      </c>
      <c r="C21" s="141" t="s">
        <v>81</v>
      </c>
      <c r="D21" s="141" t="s">
        <v>82</v>
      </c>
      <c r="E21" s="141" t="s">
        <v>83</v>
      </c>
      <c r="F21" s="141" t="s">
        <v>84</v>
      </c>
      <c r="G21" s="141" t="s">
        <v>86</v>
      </c>
      <c r="H21" s="141" t="s">
        <v>96</v>
      </c>
      <c r="I21" s="141" t="s">
        <v>87</v>
      </c>
      <c r="J21" s="252" t="s">
        <v>243</v>
      </c>
      <c r="K21" s="253" t="s">
        <v>61</v>
      </c>
      <c r="L21" s="142" t="s">
        <v>246</v>
      </c>
      <c r="M21" s="143" t="s">
        <v>62</v>
      </c>
      <c r="N21" s="143" t="s">
        <v>63</v>
      </c>
      <c r="O21" s="143" t="s">
        <v>64</v>
      </c>
      <c r="P21" s="143" t="s">
        <v>65</v>
      </c>
      <c r="Q21" s="254" t="s">
        <v>244</v>
      </c>
      <c r="R21" s="254" t="s">
        <v>245</v>
      </c>
      <c r="S21" s="255" t="s">
        <v>66</v>
      </c>
      <c r="T21" s="255" t="s">
        <v>67</v>
      </c>
      <c r="U21" s="144" t="s">
        <v>25</v>
      </c>
      <c r="V21" s="144" t="s">
        <v>26</v>
      </c>
      <c r="W21" s="143" t="s">
        <v>68</v>
      </c>
      <c r="X21" s="145" t="s">
        <v>95</v>
      </c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</row>
    <row r="22" spans="1:44" ht="14" x14ac:dyDescent="0.15">
      <c r="A22" s="182" t="str">
        <f>'TAS Apr 2022'!K8</f>
        <v>Aurora Energy</v>
      </c>
      <c r="B22" s="183" t="str">
        <f>'TAS Apr 2022'!L8</f>
        <v>Regulated</v>
      </c>
      <c r="C22" s="184">
        <f>IF('TAS Apr 2022'!BQ8=0,91*'TAS Apr 2022'!M8/100,(91*'TAS Apr 2022'!M8/100)+'TAS Apr 2022'!BQ8/4)</f>
        <v>89.022818181818167</v>
      </c>
      <c r="D22" s="184">
        <f>IF('TAS Apr 2022'!O8="",$C$17*$C$18*'TAS Apr 2022'!N8/100,IF($C$17*$C$18&gt;='TAS Apr 2022'!P8,('TAS Apr 2022'!P8*'TAS Apr 2022'!N8/100),($C$17*$C$18*'TAS Apr 2022'!N8/100)))</f>
        <v>137.81818181818181</v>
      </c>
      <c r="E22" s="184">
        <f>IF(AND('TAS Apr 2022'!P8&gt;0,'TAS Apr 2022'!R8&gt;0),IF($C$17*$C$18&lt;'TAS Apr 2022'!P8,0,IF($C$17*$C$18&lt;=('TAS Apr 2022'!R8+'TAS Apr 2022'!P8),(($C$17*$C$18-'TAS Apr 2022'!P8)*'TAS Apr 2022'!Q8/100),(('TAS Apr 2022'!R8)*'TAS Apr 2022'!Q8/100))),0)</f>
        <v>0</v>
      </c>
      <c r="F22" s="184">
        <f>IF(AND('TAS Apr 2022'!Q2&gt;0,'TAS Apr 2022'!S2&gt;0),IF($C$17*$C$18&lt;('TAS Apr 2022'!R2+'TAS Apr 2022'!P2),0,IF($C$17*$C$18&lt;=('TAS Apr 2022'!T2+'TAS Apr 2022'!R2+'TAS Apr 2022'!P2),(($C$17*$C$18-('TAS Apr 2022'!R2+'TAS Apr 2022'!P2))*'TAS Apr 2022'!S2/100),('TAS Apr 2022'!T2*'TAS Apr 2022'!S2/100))),0)</f>
        <v>0</v>
      </c>
      <c r="G22" s="184">
        <f>IF(AND('TAS Apr 2022'!R8&gt;0,'TAS Apr 2022'!T8&gt;0),IF(($C$17*$C$18&lt;'TAS Apr 2022'!T8),(0),($C$17*$C$18-'TAS Apr 2022'!T8)*'TAS Apr 2022'!U8/100),IF(AND('TAS Apr 2022'!R8&gt;0,'TAS Apr 2022'!T8=""),IF(($C$17*$C$18&lt;'TAS Apr 2022'!R8+'TAS Apr 2022'!P8),(0),(($C$17*$C$18-('TAS Apr 2022'!R8+'TAS Apr 2022'!P8))*'TAS Apr 2022'!S8/100)),IF(AND('TAS Apr 2022'!P8&gt;0,'TAS Apr 2022'!R8=""&gt;0),IF(($C$17*$C$18&lt;'TAS Apr 2022'!P8),(0),($C$17*$C$18-'TAS Apr 2022'!P8)*'TAS Apr 2022'!Q8/100),0)))</f>
        <v>611.72727272727275</v>
      </c>
      <c r="H22" s="186">
        <f>($C$17*$C$19)*'TAS Apr 2022'!AF8/100</f>
        <v>195.81818181818181</v>
      </c>
      <c r="I22" s="187">
        <f>SUM(C22:H22)</f>
        <v>1034.3864545454546</v>
      </c>
      <c r="J22" s="187">
        <f>(I22-C22)*4</f>
        <v>3781.454545454546</v>
      </c>
      <c r="K22" s="187">
        <f>I22*4</f>
        <v>4137.5458181818185</v>
      </c>
      <c r="L22" s="188">
        <f>K22*1.1</f>
        <v>4551.300400000001</v>
      </c>
      <c r="M22" s="189">
        <f>'TAS Apr 2022'!BC8</f>
        <v>0</v>
      </c>
      <c r="N22" s="189">
        <f>'TAS Apr 2022'!BD8</f>
        <v>0</v>
      </c>
      <c r="O22" s="189">
        <f>'TAS Apr 2022'!BE8</f>
        <v>0</v>
      </c>
      <c r="P22" s="189">
        <f>'TAS Apr 2022'!BF8</f>
        <v>0</v>
      </c>
      <c r="Q22" s="189" t="str">
        <f>IF(SUM(M22:P22)=0,"No discount",IF(M22&gt;0,"Guaranteed off bill",IF(N22&gt;0,"Guaranteed off usage",IF(O22&gt;0,"Pay-on-time off bill","Pay-on-time off usage"))))</f>
        <v>No discount</v>
      </c>
      <c r="R22" s="189" t="str">
        <f t="shared" ref="R22:R24" si="9">IF(OR(A22="Origin Energy",A22="Red Energy",A22="Powershop"),"Inclusive","Exclusive")</f>
        <v>Exclusive</v>
      </c>
      <c r="S22" s="220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4137.5458181818185</v>
      </c>
      <c r="T22" s="220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4137.5458181818185</v>
      </c>
      <c r="U22" s="188">
        <f t="shared" ref="U22:U24" si="10">IF(R22="Exclusive",S22*1.1,S22)</f>
        <v>4551.300400000001</v>
      </c>
      <c r="V22" s="188">
        <f t="shared" ref="V22:V24" si="11">IF(R22="Exclusive",T22*1.1,T22)</f>
        <v>4551.300400000001</v>
      </c>
      <c r="W22" s="151">
        <f>'TAS Apr 2022'!BR8</f>
        <v>0</v>
      </c>
      <c r="X22" s="295">
        <f>'TAS Apr 2022'!BO8</f>
        <v>0</v>
      </c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</row>
    <row r="23" spans="1:44" ht="14" x14ac:dyDescent="0.15">
      <c r="A23" s="150" t="str">
        <f>'TAS Apr 2022'!K9</f>
        <v>1st Energy</v>
      </c>
      <c r="B23" s="159" t="str">
        <f>'TAS Apr 2022'!L9</f>
        <v>1st Saver</v>
      </c>
      <c r="C23" s="124">
        <f>IF('TAS Apr 2022'!BQ9=0,91*'TAS Apr 2022'!M9/100,(91*'TAS Apr 2022'!M9/100)+'TAS Apr 2022'!BQ9/4)</f>
        <v>88.12109090909091</v>
      </c>
      <c r="D23" s="124">
        <f>IF('TAS Apr 2022'!O9="",$C$17*$C$18*'TAS Apr 2022'!N9/100,IF($C$17*$C$18&gt;='TAS Apr 2022'!P9,('TAS Apr 2022'!P9*'TAS Apr 2022'!N9/100),($C$17*$C$18*'TAS Apr 2022'!N9/100)))</f>
        <v>130.90909090909091</v>
      </c>
      <c r="E23" s="124">
        <f>IF(AND('TAS Apr 2022'!P9&gt;0,'TAS Apr 2022'!R9&gt;0),IF($C$17*$C$18&lt;'TAS Apr 2022'!P9,0,IF($C$17*$C$18&lt;=('TAS Apr 2022'!R9+'TAS Apr 2022'!P9),(($C$17*$C$18-'TAS Apr 2022'!P9)*'TAS Apr 2022'!Q9/100),(('TAS Apr 2022'!R9)*'TAS Apr 2022'!Q9/100))),0)</f>
        <v>0</v>
      </c>
      <c r="F23" s="124">
        <f>IF(AND('TAS Apr 2022'!Q3&gt;0,'TAS Apr 2022'!S3&gt;0),IF($C$17*$C$18&lt;('TAS Apr 2022'!R3+'TAS Apr 2022'!P3),0,IF($C$17*$C$18&lt;=('TAS Apr 2022'!T3+'TAS Apr 2022'!R3+'TAS Apr 2022'!P3),(($C$17*$C$18-('TAS Apr 2022'!R3+'TAS Apr 2022'!P3))*'TAS Apr 2022'!S3/100),('TAS Apr 2022'!T3*'TAS Apr 2022'!S3/100))),0)</f>
        <v>0</v>
      </c>
      <c r="G23" s="124">
        <f>IF(AND('TAS Apr 2022'!R9&gt;0,'TAS Apr 2022'!T9&gt;0),IF(($C$17*$C$18&lt;'TAS Apr 2022'!T9),(0),($C$17*$C$18-'TAS Apr 2022'!T9)*'TAS Apr 2022'!U9/100),IF(AND('TAS Apr 2022'!R9&gt;0,'TAS Apr 2022'!T9=""),IF(($C$17*$C$18&lt;'TAS Apr 2022'!R9+'TAS Apr 2022'!P9),(0),(($C$17*$C$18-('TAS Apr 2022'!R9+'TAS Apr 2022'!P9))*'TAS Apr 2022'!S9/100)),IF(AND('TAS Apr 2022'!P9&gt;0,'TAS Apr 2022'!R9=""&gt;0),IF(($C$17*$C$18&lt;'TAS Apr 2022'!P9),(0),($C$17*$C$18-'TAS Apr 2022'!P9)*'TAS Apr 2022'!Q9/100),0)))</f>
        <v>580.90909090909088</v>
      </c>
      <c r="H23" s="127">
        <f>($C$17*$C$19)*'TAS Apr 2022'!AF9/100</f>
        <v>185.86363636363637</v>
      </c>
      <c r="I23" s="128">
        <f>SUM(C23:H23)</f>
        <v>985.80290909090911</v>
      </c>
      <c r="J23" s="128">
        <f>(I23-C23)*4</f>
        <v>3590.727272727273</v>
      </c>
      <c r="K23" s="128">
        <f>I23*4</f>
        <v>3943.2116363636364</v>
      </c>
      <c r="L23" s="129">
        <f>K23*1.1</f>
        <v>4337.5328000000009</v>
      </c>
      <c r="M23" s="123">
        <f>'TAS Apr 2022'!BC9</f>
        <v>0</v>
      </c>
      <c r="N23" s="123">
        <f>'TAS Apr 2022'!BD9</f>
        <v>0</v>
      </c>
      <c r="O23" s="123">
        <f>'TAS Apr 2022'!BE9</f>
        <v>0</v>
      </c>
      <c r="P23" s="123">
        <f>'TAS Apr 2022'!BF9</f>
        <v>5</v>
      </c>
      <c r="Q23" s="123" t="str">
        <f>IF(SUM(M23:P23)=0,"No discount",IF(M23&gt;0,"Guaranteed off bill",IF(N23&gt;0,"Guaranteed off usage",IF(O23&gt;0,"Pay-on-time off bill","Pay-on-time off usage"))))</f>
        <v>Pay-on-time off usage</v>
      </c>
      <c r="R23" s="123" t="str">
        <f t="shared" si="9"/>
        <v>Exclusive</v>
      </c>
      <c r="S23" s="272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3943.2116363636364</v>
      </c>
      <c r="T23" s="273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3763.6752727272728</v>
      </c>
      <c r="U23" s="129">
        <f t="shared" si="10"/>
        <v>4337.5328000000009</v>
      </c>
      <c r="V23" s="129">
        <f t="shared" si="11"/>
        <v>4140.0428000000002</v>
      </c>
      <c r="W23" s="151">
        <f>'TAS Apr 2022'!BR9</f>
        <v>0</v>
      </c>
      <c r="X23" s="295">
        <f>'TAS Apr 2022'!BO9</f>
        <v>12</v>
      </c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</row>
    <row r="24" spans="1:44" ht="14" x14ac:dyDescent="0.15">
      <c r="A24" s="150" t="str">
        <f>'TAS Apr 2022'!K10</f>
        <v>CovaU</v>
      </c>
      <c r="B24" s="159" t="str">
        <f>'TAS Apr 2022'!L10</f>
        <v>Freedom Online</v>
      </c>
      <c r="C24" s="124">
        <f>IF('TAS Apr 2022'!BQ10=0,91*'TAS Apr 2022'!M10/100,(91*'TAS Apr 2022'!M10/100)+'TAS Apr 2022'!BQ10/4)</f>
        <v>89.022818181818167</v>
      </c>
      <c r="D24" s="124">
        <f>IF('TAS Apr 2022'!O10="",$C$17*$C$18*'TAS Apr 2022'!N10/100,IF($C$17*$C$18&gt;='TAS Apr 2022'!P10,('TAS Apr 2022'!P10*'TAS Apr 2022'!N10/100),($C$17*$C$18*'TAS Apr 2022'!N10/100)))</f>
        <v>137.81818181818181</v>
      </c>
      <c r="E24" s="124">
        <f>IF(AND('TAS Apr 2022'!P10&gt;0,'TAS Apr 2022'!R10&gt;0),IF($C$17*$C$18&lt;'TAS Apr 2022'!P10,0,IF($C$17*$C$18&lt;=('TAS Apr 2022'!R10+'TAS Apr 2022'!P10),(($C$17*$C$18-'TAS Apr 2022'!P10)*'TAS Apr 2022'!Q10/100),(('TAS Apr 2022'!R10)*'TAS Apr 2022'!Q10/100))),0)</f>
        <v>0</v>
      </c>
      <c r="F24" s="124">
        <f>IF(AND('TAS Apr 2022'!Q4&gt;0,'TAS Apr 2022'!S4&gt;0),IF($C$17*$C$18&lt;('TAS Apr 2022'!R4+'TAS Apr 2022'!P4),0,IF($C$17*$C$18&lt;=('TAS Apr 2022'!T4+'TAS Apr 2022'!R4+'TAS Apr 2022'!P4),(($C$17*$C$18-('TAS Apr 2022'!R4+'TAS Apr 2022'!P4))*'TAS Apr 2022'!S4/100),('TAS Apr 2022'!T4*'TAS Apr 2022'!S4/100))),0)</f>
        <v>0</v>
      </c>
      <c r="G24" s="124">
        <f>IF(AND('TAS Apr 2022'!R10&gt;0,'TAS Apr 2022'!T10&gt;0),IF(($C$17*$C$18&lt;'TAS Apr 2022'!T10),(0),($C$17*$C$18-'TAS Apr 2022'!T10)*'TAS Apr 2022'!U10/100),IF(AND('TAS Apr 2022'!R10&gt;0,'TAS Apr 2022'!T10=""),IF(($C$17*$C$18&lt;'TAS Apr 2022'!R10+'TAS Apr 2022'!P10),(0),(($C$17*$C$18-('TAS Apr 2022'!R10+'TAS Apr 2022'!P10))*'TAS Apr 2022'!S10/100)),IF(AND('TAS Apr 2022'!P10&gt;0,'TAS Apr 2022'!R10=""&gt;0),IF(($C$17*$C$18&lt;'TAS Apr 2022'!P10),(0),($C$17*$C$18-'TAS Apr 2022'!P10)*'TAS Apr 2022'!Q10/100),0)))</f>
        <v>611.72727272727275</v>
      </c>
      <c r="H24" s="127">
        <f>($C$17*$C$19)*'TAS Apr 2022'!AF10/100</f>
        <v>195.81818181818181</v>
      </c>
      <c r="I24" s="128">
        <f>SUM(C24:H24)</f>
        <v>1034.3864545454546</v>
      </c>
      <c r="J24" s="128">
        <f>(I24-C24)*4</f>
        <v>3781.454545454546</v>
      </c>
      <c r="K24" s="128">
        <f>I24*4</f>
        <v>4137.5458181818185</v>
      </c>
      <c r="L24" s="129">
        <f>K24*1.1</f>
        <v>4551.300400000001</v>
      </c>
      <c r="M24" s="123">
        <f>'TAS Apr 2022'!BC10</f>
        <v>0</v>
      </c>
      <c r="N24" s="123">
        <f>'TAS Apr 2022'!BD10</f>
        <v>5</v>
      </c>
      <c r="O24" s="123">
        <f>'TAS Apr 2022'!BE10</f>
        <v>0</v>
      </c>
      <c r="P24" s="123">
        <f>'TAS Apr 2022'!BF10</f>
        <v>0</v>
      </c>
      <c r="Q24" s="123" t="str">
        <f>IF(SUM(M24:P24)=0,"No discount",IF(M24&gt;0,"Guaranteed off bill",IF(N24&gt;0,"Guaranteed off usage",IF(O24&gt;0,"Pay-on-time off bill","Pay-on-time off usage"))))</f>
        <v>Guaranteed off usage</v>
      </c>
      <c r="R24" s="123" t="str">
        <f t="shared" si="9"/>
        <v>Exclusive</v>
      </c>
      <c r="S24" s="272">
        <f>IF(AND(Q24="Guaranteed off bill",R24="Inclusive"),((K24*1.1)-((K24*1.1)*M24/100))/1.1,IF(AND(Q24="Guaranteed off usage",R24="Inclusive"),((K24*1.1)-((J24*1.1)*N24/100))/1.1,IF(AND(Q24="Guaranteed off bill",R24="Exclusive"),K24-(K24*M24/100),IF(AND(Q24="Guaranteed off usage",R24="Exclusive"),K24-(J24*N24/100),IF(R24="Inclusive",((K24*1.1))/1.1,K24)))))</f>
        <v>3948.4730909090913</v>
      </c>
      <c r="T24" s="273">
        <f>IF(AND(Q24="Pay-on-time off bill",R24="Inclusive"),((S24*1.1)-((S24*1.1)*O24/100))/1.1,IF(AND(Q24="Pay-on-time off usage",R24="Inclusive"),((S24*1.1)-((J24*1.1)*P24/100))/1.1,IF(AND(Q24="Pay-on-time off bill",R24="Exclusive"),S24-(S24*O24/100),IF(AND(Q24="Pay-on-time off usage",R24="Exclusive"),S24-(J24*P24/100),IF(R24="Inclusive",((S24*1.1))/1.1,S24)))))</f>
        <v>3948.4730909090913</v>
      </c>
      <c r="U24" s="129">
        <f t="shared" si="10"/>
        <v>4343.3204000000005</v>
      </c>
      <c r="V24" s="129">
        <f t="shared" si="11"/>
        <v>4343.3204000000005</v>
      </c>
      <c r="W24" s="151">
        <f>'TAS Apr 2022'!BR10</f>
        <v>0</v>
      </c>
      <c r="X24" s="295">
        <f>'TAS Apr 2022'!BO10</f>
        <v>0</v>
      </c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</row>
    <row r="25" spans="1:44" ht="15" thickBot="1" x14ac:dyDescent="0.2">
      <c r="A25" s="153" t="str">
        <f>'TAS Apr 2022'!K11</f>
        <v>Energy Locals</v>
      </c>
      <c r="B25" s="160" t="str">
        <f>'TAS Apr 2022'!L11</f>
        <v>Business Member</v>
      </c>
      <c r="C25" s="133">
        <f>IF('TAS Apr 2022'!BQ11=0,91*'TAS Apr 2022'!M11/100,(91*'TAS Apr 2022'!M11/100)+'TAS Apr 2022'!BQ11/4)</f>
        <v>124.44999999999999</v>
      </c>
      <c r="D25" s="133">
        <f>IF('TAS Apr 2022'!O11="",$C$17*$C$18*'TAS Apr 2022'!N11/100,IF($C$17*$C$18&gt;='TAS Apr 2022'!P11,('TAS Apr 2022'!P11*'TAS Apr 2022'!N11/100),($C$17*$C$18*'TAS Apr 2022'!N11/100)))</f>
        <v>127.72727272727272</v>
      </c>
      <c r="E25" s="133">
        <f>IF(AND('TAS Apr 2022'!P11&gt;0,'TAS Apr 2022'!R11&gt;0),IF($C$17*$C$18&lt;'TAS Apr 2022'!P11,0,IF($C$17*$C$18&lt;=('TAS Apr 2022'!R11+'TAS Apr 2022'!P11),(($C$17*$C$18-'TAS Apr 2022'!P11)*'TAS Apr 2022'!Q11/100),(('TAS Apr 2022'!R11)*'TAS Apr 2022'!Q11/100))),0)</f>
        <v>0</v>
      </c>
      <c r="F25" s="133">
        <f>IF(AND('TAS Apr 2022'!Q5&gt;0,'TAS Apr 2022'!S5&gt;0),IF($C$17*$C$18&lt;('TAS Apr 2022'!R5+'TAS Apr 2022'!P5),0,IF($C$17*$C$18&lt;=('TAS Apr 2022'!T5+'TAS Apr 2022'!R5+'TAS Apr 2022'!P5),(($C$17*$C$18-('TAS Apr 2022'!R5+'TAS Apr 2022'!P5))*'TAS Apr 2022'!S5/100),('TAS Apr 2022'!T5*'TAS Apr 2022'!S5/100))),0)</f>
        <v>0</v>
      </c>
      <c r="G25" s="133">
        <f>IF(AND('TAS Apr 2022'!R11&gt;0,'TAS Apr 2022'!T11&gt;0),IF(($C$17*$C$18&lt;'TAS Apr 2022'!T11),(0),($C$17*$C$18-'TAS Apr 2022'!T11)*'TAS Apr 2022'!U11/100),IF(AND('TAS Apr 2022'!R11&gt;0,'TAS Apr 2022'!T11=""),IF(($C$17*$C$18&lt;'TAS Apr 2022'!R11+'TAS Apr 2022'!P11),(0),(($C$17*$C$18-('TAS Apr 2022'!R11+'TAS Apr 2022'!P11))*'TAS Apr 2022'!S11/100)),IF(AND('TAS Apr 2022'!P11&gt;0,'TAS Apr 2022'!R11=""&gt;0),IF(($C$17*$C$18&lt;'TAS Apr 2022'!P11),(0),($C$17*$C$18-'TAS Apr 2022'!P11)*'TAS Apr 2022'!Q11/100),0)))</f>
        <v>567.27272727272725</v>
      </c>
      <c r="H25" s="136">
        <f>($C$17*$C$19)*'TAS Apr 2022'!AF11/100</f>
        <v>218.18181818181816</v>
      </c>
      <c r="I25" s="137">
        <f>SUM(C25:H25)</f>
        <v>1037.6318181818181</v>
      </c>
      <c r="J25" s="137">
        <f>(I25-C25)*4</f>
        <v>3652.7272727272721</v>
      </c>
      <c r="K25" s="137">
        <f>I25*4</f>
        <v>4150.5272727272722</v>
      </c>
      <c r="L25" s="138">
        <f>K25*1.1</f>
        <v>4565.58</v>
      </c>
      <c r="M25" s="132">
        <f>'TAS Apr 2022'!BC11</f>
        <v>0</v>
      </c>
      <c r="N25" s="132">
        <f>'TAS Apr 2022'!BD11</f>
        <v>0</v>
      </c>
      <c r="O25" s="132">
        <f>'TAS Apr 2022'!BE11</f>
        <v>0</v>
      </c>
      <c r="P25" s="132">
        <f>'TAS Apr 2022'!BF11</f>
        <v>0</v>
      </c>
      <c r="Q25" s="132" t="str">
        <f>IF(SUM(M25:P25)=0,"No discount",IF(M25&gt;0,"Guaranteed off bill",IF(N25&gt;0,"Guaranteed off usage",IF(O25&gt;0,"Pay-on-time off bill","Pay-on-time off usage"))))</f>
        <v>No discount</v>
      </c>
      <c r="R25" s="132" t="str">
        <f t="shared" ref="R25" si="12">IF(OR(A25="Origin Energy",A25="Red Energy",A25="Powershop"),"Inclusive","Exclusive")</f>
        <v>Exclusive</v>
      </c>
      <c r="S25" s="221">
        <f>IF(AND(Q25="Guaranteed off bill",R25="Inclusive"),((K25*1.1)-((K25*1.1)*M25/100))/1.1,IF(AND(Q25="Guaranteed off usage",R25="Inclusive"),((K25*1.1)-((J25*1.1)*N25/100))/1.1,IF(AND(Q25="Guaranteed off bill",R25="Exclusive"),K25-(K25*M25/100),IF(AND(Q25="Guaranteed off usage",R25="Exclusive"),K25-(J25*N25/100),IF(R25="Inclusive",((K25*1.1))/1.1,K25)))))</f>
        <v>4150.5272727272722</v>
      </c>
      <c r="T25" s="222">
        <f>IF(AND(Q25="Pay-on-time off bill",R25="Inclusive"),((S25*1.1)-((S25*1.1)*O25/100))/1.1,IF(AND(Q25="Pay-on-time off usage",R25="Inclusive"),((S25*1.1)-((J25*1.1)*P25/100))/1.1,IF(AND(Q25="Pay-on-time off bill",R25="Exclusive"),S25-(S25*O25/100),IF(AND(Q25="Pay-on-time off usage",R25="Exclusive"),S25-(J25*P25/100),IF(R25="Inclusive",((S25*1.1))/1.1,S25)))))</f>
        <v>4150.5272727272722</v>
      </c>
      <c r="U25" s="138">
        <f t="shared" ref="U25" si="13">IF(R25="Exclusive",S25*1.1,S25)</f>
        <v>4565.58</v>
      </c>
      <c r="V25" s="138">
        <f t="shared" ref="V25" si="14">IF(R25="Exclusive",T25*1.1,T25)</f>
        <v>4565.58</v>
      </c>
      <c r="W25" s="154">
        <f>'TAS Apr 2022'!BR11</f>
        <v>0</v>
      </c>
      <c r="X25" s="297">
        <f>'TAS Apr 2022'!BO11</f>
        <v>0</v>
      </c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</row>
    <row r="26" spans="1:44" s="301" customFormat="1" ht="14" x14ac:dyDescent="0.1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300"/>
      <c r="U26" s="300"/>
      <c r="V26" s="300"/>
      <c r="W26" s="300"/>
      <c r="X26" s="300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</row>
    <row r="27" spans="1:44" ht="15" thickBot="1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91"/>
      <c r="U27" s="91"/>
      <c r="V27" s="91"/>
      <c r="W27" s="91"/>
      <c r="X27" s="91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</row>
    <row r="28" spans="1:44" ht="14" x14ac:dyDescent="0.15">
      <c r="A28" s="62" t="s">
        <v>33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5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</row>
    <row r="29" spans="1:44" ht="14" x14ac:dyDescent="0.15">
      <c r="A29" s="66" t="s">
        <v>22</v>
      </c>
      <c r="B29" s="64"/>
      <c r="C29" s="85">
        <v>5000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</row>
    <row r="30" spans="1:44" ht="14" x14ac:dyDescent="0.15">
      <c r="A30" s="66" t="s">
        <v>23</v>
      </c>
      <c r="B30" s="64"/>
      <c r="C30" s="86">
        <v>0.3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</row>
    <row r="31" spans="1:44" ht="14" x14ac:dyDescent="0.15">
      <c r="A31" s="66" t="s">
        <v>24</v>
      </c>
      <c r="B31" s="64"/>
      <c r="C31" s="86">
        <v>0.4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</row>
    <row r="32" spans="1:44" ht="14" x14ac:dyDescent="0.15">
      <c r="A32" s="66" t="s">
        <v>21</v>
      </c>
      <c r="B32" s="64"/>
      <c r="C32" s="86">
        <v>0.3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</row>
    <row r="33" spans="1:44" ht="14" x14ac:dyDescent="0.15">
      <c r="A33" s="66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</row>
    <row r="34" spans="1:44" ht="75" x14ac:dyDescent="0.15">
      <c r="A34" s="251" t="s">
        <v>35</v>
      </c>
      <c r="B34" s="147" t="s">
        <v>36</v>
      </c>
      <c r="C34" s="141" t="s">
        <v>27</v>
      </c>
      <c r="D34" s="141" t="s">
        <v>153</v>
      </c>
      <c r="E34" s="141" t="s">
        <v>83</v>
      </c>
      <c r="F34" s="141" t="s">
        <v>154</v>
      </c>
      <c r="G34" s="141" t="s">
        <v>155</v>
      </c>
      <c r="H34" s="141" t="s">
        <v>156</v>
      </c>
      <c r="I34" s="141" t="s">
        <v>87</v>
      </c>
      <c r="J34" s="252" t="s">
        <v>243</v>
      </c>
      <c r="K34" s="253" t="s">
        <v>157</v>
      </c>
      <c r="L34" s="142" t="s">
        <v>246</v>
      </c>
      <c r="M34" s="143" t="s">
        <v>94</v>
      </c>
      <c r="N34" s="143" t="s">
        <v>123</v>
      </c>
      <c r="O34" s="143" t="s">
        <v>124</v>
      </c>
      <c r="P34" s="143" t="s">
        <v>125</v>
      </c>
      <c r="Q34" s="254" t="s">
        <v>244</v>
      </c>
      <c r="R34" s="254" t="s">
        <v>245</v>
      </c>
      <c r="S34" s="255" t="s">
        <v>66</v>
      </c>
      <c r="T34" s="255" t="s">
        <v>67</v>
      </c>
      <c r="U34" s="144" t="s">
        <v>25</v>
      </c>
      <c r="V34" s="144" t="s">
        <v>26</v>
      </c>
      <c r="W34" s="143" t="s">
        <v>55</v>
      </c>
      <c r="X34" s="145" t="s">
        <v>160</v>
      </c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</row>
    <row r="35" spans="1:44" ht="14" x14ac:dyDescent="0.15">
      <c r="A35" s="182" t="str">
        <f>'TAS Apr 2022'!K12</f>
        <v>Aurora Energy</v>
      </c>
      <c r="B35" s="183" t="str">
        <f>'TAS Apr 2022'!L12</f>
        <v>Regulated</v>
      </c>
      <c r="C35" s="184">
        <f>IF('TAS Apr 2022'!BQ12=0,91*'TAS Apr 2022'!M12/100,(91*'TAS Apr 2022'!M12/100)+'TAS Apr 2022'!BQ12/4)</f>
        <v>81.767636363636356</v>
      </c>
      <c r="D35" s="184">
        <f>IF('TAS Apr 2022'!O12="",$C$29*$C$30*'TAS Apr 2022'!N12/100,IF($C$29*$C$30&gt;='TAS Apr 2022'!P12,('TAS Apr 2022'!P12*'TAS Apr 2022'!N12/100),($C$29*$C$30*'TAS Apr 2022'!N12/100)))</f>
        <v>340.22727272727275</v>
      </c>
      <c r="E35" s="184">
        <f>IF(AND('TAS Apr 2022'!P12&gt;0,'TAS Apr 2022'!R12&gt;0),IF($C$29*$C$30&lt;'TAS Apr 2022'!P12,0,IF($C$29*$C$30&lt;=('TAS Apr 2022'!R12+'TAS Apr 2022'!P12),(($C$29*$C$30-'TAS Apr 2022'!P12)*'TAS Apr 2022'!Q12/100),(('TAS Apr 2022'!R12)*'TAS Apr 2022'!Q12/100))),0)</f>
        <v>0</v>
      </c>
      <c r="F35" s="184">
        <f>IF(AND('TAS Apr 2022'!R12&gt;0,'TAS Apr 2022'!T12&gt;0),IF(($C$29*$C$30&lt;'TAS Apr 2022'!T12),(0),($C$29*$C$250-'TAS Apr 2022'!T12)*'TAS Apr 2022'!U12/100),IF(AND('TAS Apr 2022'!R12&gt;0,'TAS Apr 2022'!T12=""),IF(($C$29*$C$30&lt;'TAS Apr 2022'!R12+'TAS Apr 2022'!P12),(0),(($C$29*$C$30-('TAS Apr 2022'!R12+'TAS Apr 2022'!P12))*'TAS Apr 2022'!S12/100)),IF(AND('TAS Apr 2022'!P12&gt;0,'TAS Apr 2022'!R12=""&gt;0),IF(($C$29*$C$30&lt;'TAS Apr 2022'!P12),(0),($C$29*$C$30-'TAS Apr 2022'!P12)*'TAS Apr 2022'!Q12/100),0)))</f>
        <v>0</v>
      </c>
      <c r="G35" s="185">
        <f>($C$29*$C$31)*'TAS Apr 2022'!AI12/100</f>
        <v>327.81818181818181</v>
      </c>
      <c r="H35" s="186">
        <f>($C$29*$C$32)*'TAS Apr 2022'!W12/100</f>
        <v>143.86363636363635</v>
      </c>
      <c r="I35" s="187">
        <f>SUM(C35:H35)</f>
        <v>893.67672727272736</v>
      </c>
      <c r="J35" s="187">
        <f>(I35-C35)*4</f>
        <v>3247.636363636364</v>
      </c>
      <c r="K35" s="187">
        <f>I35*4</f>
        <v>3574.7069090909094</v>
      </c>
      <c r="L35" s="188">
        <f>K35*1.1</f>
        <v>3932.1776000000009</v>
      </c>
      <c r="M35" s="189">
        <f>'TAS Apr 2022'!BC12</f>
        <v>0</v>
      </c>
      <c r="N35" s="189">
        <f>'TAS Apr 2022'!BD12</f>
        <v>0</v>
      </c>
      <c r="O35" s="189">
        <f>'TAS Apr 2022'!BE12</f>
        <v>0</v>
      </c>
      <c r="P35" s="189">
        <f>'TAS Apr 2022'!BF12</f>
        <v>0</v>
      </c>
      <c r="Q35" s="189" t="str">
        <f>IF(SUM(M35:P35)=0,"No discount",IF(M35&gt;0,"Guaranteed off bill",IF(N35&gt;0,"Guaranteed off usage",IF(O35&gt;0,"Pay-on-time off bill","Pay-on-time off usage"))))</f>
        <v>No discount</v>
      </c>
      <c r="R35" s="189" t="str">
        <f t="shared" ref="R35:R39" si="15">IF(OR(A35="Origin Energy",A35="Red Energy",A35="Powershop"),"Inclusive","Exclusive")</f>
        <v>Exclusive</v>
      </c>
      <c r="S35" s="223">
        <f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3574.7069090909094</v>
      </c>
      <c r="T35" s="224">
        <f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3574.7069090909094</v>
      </c>
      <c r="U35" s="188">
        <f t="shared" ref="U35:U39" si="16">IF(R35="Exclusive",S35*1.1,S35)</f>
        <v>3932.1776000000009</v>
      </c>
      <c r="V35" s="188">
        <f t="shared" ref="V35:V39" si="17">IF(R35="Exclusive",T35*1.1,T35)</f>
        <v>3932.1776000000009</v>
      </c>
      <c r="W35" s="190">
        <f>'TAS Apr 2022'!BR12</f>
        <v>0</v>
      </c>
      <c r="X35" s="295">
        <f>'TAS Apr 2022'!BO12</f>
        <v>0</v>
      </c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</row>
    <row r="36" spans="1:44" ht="14" x14ac:dyDescent="0.15">
      <c r="A36" s="150" t="str">
        <f>'TAS Apr 2022'!K13</f>
        <v>1st Energy</v>
      </c>
      <c r="B36" s="159" t="str">
        <f>'TAS Apr 2022'!L13</f>
        <v>1st Saver</v>
      </c>
      <c r="C36" s="124">
        <f>IF('TAS Apr 2022'!BQ13=0,91*'TAS Apr 2022'!M13/100,(91*'TAS Apr 2022'!M13/100)+'TAS Apr 2022'!BQ13/4)</f>
        <v>80.948636363636354</v>
      </c>
      <c r="D36" s="124">
        <f>IF('TAS Apr 2022'!O13="",$C$29*$C$30*'TAS Apr 2022'!N13/100,IF($C$29*$C$30&gt;='TAS Apr 2022'!P13,('TAS Apr 2022'!P13*'TAS Apr 2022'!N13/100),($C$29*$C$30*'TAS Apr 2022'!N13/100)))</f>
        <v>322.90909090909082</v>
      </c>
      <c r="E36" s="124">
        <f>IF(AND('TAS Apr 2022'!P13&gt;0,'TAS Apr 2022'!R13&gt;0),IF($C$29*$C$30&lt;'TAS Apr 2022'!P13,0,IF($C$29*$C$30&lt;=('TAS Apr 2022'!R13+'TAS Apr 2022'!P13),(($C$29*$C$30-'TAS Apr 2022'!P13)*'TAS Apr 2022'!Q13/100),(('TAS Apr 2022'!R13)*'TAS Apr 2022'!Q13/100))),0)</f>
        <v>0</v>
      </c>
      <c r="F36" s="124">
        <f>IF(AND('TAS Apr 2022'!R13&gt;0,'TAS Apr 2022'!T13&gt;0),IF(($C$29*$C$30&lt;'TAS Apr 2022'!T13),(0),($C$29*$C$250-'TAS Apr 2022'!T13)*'TAS Apr 2022'!U13/100),IF(AND('TAS Apr 2022'!R13&gt;0,'TAS Apr 2022'!T13=""),IF(($C$29*$C$30&lt;'TAS Apr 2022'!R13+'TAS Apr 2022'!P13),(0),(($C$29*$C$30-('TAS Apr 2022'!R13+'TAS Apr 2022'!P13))*'TAS Apr 2022'!S13/100)),IF(AND('TAS Apr 2022'!P13&gt;0,'TAS Apr 2022'!R13=""&gt;0),IF(($C$29*$C$30&lt;'TAS Apr 2022'!P13),(0),($C$29*$C$30-'TAS Apr 2022'!P13)*'TAS Apr 2022'!Q13/100),0)))</f>
        <v>0</v>
      </c>
      <c r="G36" s="126">
        <f>($C$29*$C$31)*'TAS Apr 2022'!AI13/100</f>
        <v>311.45454545454538</v>
      </c>
      <c r="H36" s="127">
        <f>($C$29*$C$32)*'TAS Apr 2022'!W13/100</f>
        <v>136.5</v>
      </c>
      <c r="I36" s="128">
        <f>SUM(C36:H36)</f>
        <v>851.81227272727256</v>
      </c>
      <c r="J36" s="128">
        <f>(I36-C36)*4</f>
        <v>3083.454545454545</v>
      </c>
      <c r="K36" s="128">
        <f>I36*4</f>
        <v>3407.2490909090902</v>
      </c>
      <c r="L36" s="129">
        <f>K36*1.1</f>
        <v>3747.9739999999997</v>
      </c>
      <c r="M36" s="123">
        <f>'TAS Apr 2022'!BC13</f>
        <v>0</v>
      </c>
      <c r="N36" s="123">
        <f>'TAS Apr 2022'!BD13</f>
        <v>0</v>
      </c>
      <c r="O36" s="123">
        <f>'TAS Apr 2022'!BE13</f>
        <v>0</v>
      </c>
      <c r="P36" s="123">
        <f>'TAS Apr 2022'!BF13</f>
        <v>5</v>
      </c>
      <c r="Q36" s="123" t="str">
        <f>IF(SUM(M36:P36)=0,"No discount",IF(M36&gt;0,"Guaranteed off bill",IF(N36&gt;0,"Guaranteed off usage",IF(O36&gt;0,"Pay-on-time off bill","Pay-on-time off usage"))))</f>
        <v>Pay-on-time off usage</v>
      </c>
      <c r="R36" s="123" t="str">
        <f t="shared" si="15"/>
        <v>Exclusive</v>
      </c>
      <c r="S36" s="272">
        <f>IF(AND(Q36="Guaranteed off bill",R36="Inclusive"),((K36*1.1)-((K36*1.1)*M36/100))/1.1,IF(AND(Q36="Guaranteed off usage",R36="Inclusive"),((K36*1.1)-((J36*1.1)*N36/100))/1.1,IF(AND(Q36="Guaranteed off bill",R36="Exclusive"),K36-(K36*M36/100),IF(AND(Q36="Guaranteed off usage",R36="Exclusive"),K36-(J36*N36/100),IF(R36="Inclusive",((K36*1.1))/1.1,K36)))))</f>
        <v>3407.2490909090902</v>
      </c>
      <c r="T36" s="273">
        <f>IF(AND(Q36="Pay-on-time off bill",R36="Inclusive"),((S36*1.1)-((S36*1.1)*O36/100))/1.1,IF(AND(Q36="Pay-on-time off usage",R36="Inclusive"),((S36*1.1)-((J36*1.1)*P36/100))/1.1,IF(AND(Q36="Pay-on-time off bill",R36="Exclusive"),S36-(S36*O36/100),IF(AND(Q36="Pay-on-time off usage",R36="Exclusive"),S36-(J36*P36/100),IF(R36="Inclusive",((S36*1.1))/1.1,S36)))))</f>
        <v>3253.0763636363631</v>
      </c>
      <c r="U36" s="129">
        <f t="shared" si="16"/>
        <v>3747.9739999999997</v>
      </c>
      <c r="V36" s="129">
        <f t="shared" si="17"/>
        <v>3578.3839999999996</v>
      </c>
      <c r="W36" s="151">
        <f>'TAS Apr 2022'!BR13</f>
        <v>0</v>
      </c>
      <c r="X36" s="295">
        <f>'TAS Apr 2022'!BO13</f>
        <v>12</v>
      </c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</row>
    <row r="37" spans="1:44" ht="14" x14ac:dyDescent="0.15">
      <c r="A37" s="150" t="str">
        <f>'TAS Apr 2022'!K14</f>
        <v>CovaU</v>
      </c>
      <c r="B37" s="159" t="str">
        <f>'TAS Apr 2022'!L14</f>
        <v>Freedom Online</v>
      </c>
      <c r="C37" s="124">
        <f>IF('TAS Apr 2022'!BQ14=0,91*'TAS Apr 2022'!M14/100,(91*'TAS Apr 2022'!M14/100)+'TAS Apr 2022'!BQ14/4)</f>
        <v>81.767636363636356</v>
      </c>
      <c r="D37" s="124">
        <f>IF('TAS Apr 2022'!O14="",$C$29*$C$30*'TAS Apr 2022'!N14/100,IF($C$29*$C$30&gt;='TAS Apr 2022'!P14,('TAS Apr 2022'!P14*'TAS Apr 2022'!N14/100),($C$29*$C$30*'TAS Apr 2022'!N14/100)))</f>
        <v>340.22727272727275</v>
      </c>
      <c r="E37" s="124">
        <f>IF(AND('TAS Apr 2022'!P14&gt;0,'TAS Apr 2022'!R14&gt;0),IF($C$29*$C$30&lt;'TAS Apr 2022'!P14,0,IF($C$29*$C$30&lt;=('TAS Apr 2022'!R14+'TAS Apr 2022'!P14),(($C$29*$C$30-'TAS Apr 2022'!P14)*'TAS Apr 2022'!Q14/100),(('TAS Apr 2022'!R14)*'TAS Apr 2022'!Q14/100))),0)</f>
        <v>0</v>
      </c>
      <c r="F37" s="124">
        <f>IF(AND('TAS Apr 2022'!R14&gt;0,'TAS Apr 2022'!T14&gt;0),IF(($C$29*$C$30&lt;'TAS Apr 2022'!T14),(0),($C$29*$C$250-'TAS Apr 2022'!T14)*'TAS Apr 2022'!U14/100),IF(AND('TAS Apr 2022'!R14&gt;0,'TAS Apr 2022'!T14=""),IF(($C$29*$C$30&lt;'TAS Apr 2022'!R14+'TAS Apr 2022'!P14),(0),(($C$29*$C$30-('TAS Apr 2022'!R14+'TAS Apr 2022'!P14))*'TAS Apr 2022'!S14/100)),IF(AND('TAS Apr 2022'!P14&gt;0,'TAS Apr 2022'!R14=""&gt;0),IF(($C$29*$C$30&lt;'TAS Apr 2022'!P14),(0),($C$29*$C$30-'TAS Apr 2022'!P14)*'TAS Apr 2022'!Q14/100),0)))</f>
        <v>0</v>
      </c>
      <c r="G37" s="126">
        <f>($C$29*$C$31)*'TAS Apr 2022'!AI14/100</f>
        <v>327.81818181818181</v>
      </c>
      <c r="H37" s="127">
        <f>($C$29*$C$32)*'TAS Apr 2022'!W14/100</f>
        <v>143.86363636363635</v>
      </c>
      <c r="I37" s="128">
        <f t="shared" ref="I37:I39" si="18">SUM(C37:H37)</f>
        <v>893.67672727272736</v>
      </c>
      <c r="J37" s="128">
        <f t="shared" ref="J37:J39" si="19">(I37-C37)*4</f>
        <v>3247.636363636364</v>
      </c>
      <c r="K37" s="128">
        <f t="shared" ref="K37:K39" si="20">I37*4</f>
        <v>3574.7069090909094</v>
      </c>
      <c r="L37" s="129">
        <f t="shared" ref="L37:L39" si="21">K37*1.1</f>
        <v>3932.1776000000009</v>
      </c>
      <c r="M37" s="123">
        <f>'TAS Apr 2022'!BC14</f>
        <v>0</v>
      </c>
      <c r="N37" s="123">
        <f>'TAS Apr 2022'!BD14</f>
        <v>5</v>
      </c>
      <c r="O37" s="123">
        <f>'TAS Apr 2022'!BE14</f>
        <v>0</v>
      </c>
      <c r="P37" s="123">
        <f>'TAS Apr 2022'!BF14</f>
        <v>0</v>
      </c>
      <c r="Q37" s="123" t="str">
        <f t="shared" ref="Q37:Q39" si="22">IF(SUM(M37:P37)=0,"No discount",IF(M37&gt;0,"Guaranteed off bill",IF(N37&gt;0,"Guaranteed off usage",IF(O37&gt;0,"Pay-on-time off bill","Pay-on-time off usage"))))</f>
        <v>Guaranteed off usage</v>
      </c>
      <c r="R37" s="123" t="str">
        <f t="shared" si="15"/>
        <v>Exclusive</v>
      </c>
      <c r="S37" s="272">
        <f t="shared" ref="S37:S39" si="23">IF(AND(Q37="Guaranteed off bill",R37="Inclusive"),((K37*1.1)-((K37*1.1)*M37/100))/1.1,IF(AND(Q37="Guaranteed off usage",R37="Inclusive"),((K37*1.1)-((J37*1.1)*N37/100))/1.1,IF(AND(Q37="Guaranteed off bill",R37="Exclusive"),K37-(K37*M37/100),IF(AND(Q37="Guaranteed off usage",R37="Exclusive"),K37-(J37*N37/100),IF(R37="Inclusive",((K37*1.1))/1.1,K37)))))</f>
        <v>3412.3250909090912</v>
      </c>
      <c r="T37" s="273">
        <f t="shared" ref="T37:T39" si="24">IF(AND(Q37="Pay-on-time off bill",R37="Inclusive"),((S37*1.1)-((S37*1.1)*O37/100))/1.1,IF(AND(Q37="Pay-on-time off usage",R37="Inclusive"),((S37*1.1)-((J37*1.1)*P37/100))/1.1,IF(AND(Q37="Pay-on-time off bill",R37="Exclusive"),S37-(S37*O37/100),IF(AND(Q37="Pay-on-time off usage",R37="Exclusive"),S37-(J37*P37/100),IF(R37="Inclusive",((S37*1.1))/1.1,S37)))))</f>
        <v>3412.3250909090912</v>
      </c>
      <c r="U37" s="129">
        <f t="shared" si="16"/>
        <v>3753.5576000000005</v>
      </c>
      <c r="V37" s="129">
        <f t="shared" si="17"/>
        <v>3753.5576000000005</v>
      </c>
      <c r="W37" s="151">
        <f>'TAS Apr 2022'!BR14</f>
        <v>0</v>
      </c>
      <c r="X37" s="295">
        <f>'TAS Apr 2022'!BO14</f>
        <v>0</v>
      </c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</row>
    <row r="38" spans="1:44" ht="14" x14ac:dyDescent="0.15">
      <c r="A38" s="150" t="str">
        <f>'TAS Apr 2022'!K15</f>
        <v>Energy Locals</v>
      </c>
      <c r="B38" s="159" t="str">
        <f>'TAS Apr 2022'!L15</f>
        <v>Business Member</v>
      </c>
      <c r="C38" s="124">
        <f>IF('TAS Apr 2022'!BQ15=0,91*'TAS Apr 2022'!M15/100,(91*'TAS Apr 2022'!M15/100)+'TAS Apr 2022'!BQ15/4)</f>
        <v>117.83181818181816</v>
      </c>
      <c r="D38" s="124">
        <f>IF('TAS Apr 2022'!O15="",$C$29*$C$30*'TAS Apr 2022'!N15/100,IF($C$29*$C$30&gt;='TAS Apr 2022'!P15,('TAS Apr 2022'!P15*'TAS Apr 2022'!N15/100),($C$29*$C$30*'TAS Apr 2022'!N15/100)))</f>
        <v>313.63636363636363</v>
      </c>
      <c r="E38" s="124">
        <f>IF(AND('TAS Apr 2022'!P15&gt;0,'TAS Apr 2022'!R15&gt;0),IF($C$29*$C$30&lt;'TAS Apr 2022'!P15,0,IF($C$29*$C$30&lt;=('TAS Apr 2022'!R15+'TAS Apr 2022'!P15),(($C$29*$C$30-'TAS Apr 2022'!P15)*'TAS Apr 2022'!Q15/100),(('TAS Apr 2022'!R15)*'TAS Apr 2022'!Q15/100))),0)</f>
        <v>0</v>
      </c>
      <c r="F38" s="124">
        <f>IF(AND('TAS Apr 2022'!R15&gt;0,'TAS Apr 2022'!T15&gt;0),IF(($C$29*$C$30&lt;'TAS Apr 2022'!T15),(0),($C$29*$C$250-'TAS Apr 2022'!T15)*'TAS Apr 2022'!U15/100),IF(AND('TAS Apr 2022'!R15&gt;0,'TAS Apr 2022'!T15=""),IF(($C$29*$C$30&lt;'TAS Apr 2022'!R15+'TAS Apr 2022'!P15),(0),(($C$29*$C$30-('TAS Apr 2022'!R15+'TAS Apr 2022'!P15))*'TAS Apr 2022'!S15/100)),IF(AND('TAS Apr 2022'!P15&gt;0,'TAS Apr 2022'!R15=""&gt;0),IF(($C$29*$C$30&lt;'TAS Apr 2022'!P15),(0),($C$29*$C$30-'TAS Apr 2022'!P15)*'TAS Apr 2022'!Q15/100),0)))</f>
        <v>0</v>
      </c>
      <c r="G38" s="126">
        <f>($C$29*$C$31)*'TAS Apr 2022'!AI15/100</f>
        <v>309.09090909090907</v>
      </c>
      <c r="H38" s="127">
        <f>($C$29*$C$32)*'TAS Apr 2022'!W15/100</f>
        <v>136.36363636363635</v>
      </c>
      <c r="I38" s="128">
        <f t="shared" si="18"/>
        <v>876.92272727272723</v>
      </c>
      <c r="J38" s="128">
        <f t="shared" si="19"/>
        <v>3036.363636363636</v>
      </c>
      <c r="K38" s="128">
        <f t="shared" si="20"/>
        <v>3507.6909090909089</v>
      </c>
      <c r="L38" s="129">
        <f t="shared" si="21"/>
        <v>3858.46</v>
      </c>
      <c r="M38" s="123">
        <f>'TAS Apr 2022'!BC15</f>
        <v>0</v>
      </c>
      <c r="N38" s="123">
        <f>'TAS Apr 2022'!BD15</f>
        <v>0</v>
      </c>
      <c r="O38" s="123">
        <f>'TAS Apr 2022'!BE15</f>
        <v>0</v>
      </c>
      <c r="P38" s="123">
        <f>'TAS Apr 2022'!BF15</f>
        <v>0</v>
      </c>
      <c r="Q38" s="123" t="str">
        <f t="shared" si="22"/>
        <v>No discount</v>
      </c>
      <c r="R38" s="123" t="str">
        <f t="shared" si="15"/>
        <v>Exclusive</v>
      </c>
      <c r="S38" s="272">
        <f t="shared" si="23"/>
        <v>3507.6909090909089</v>
      </c>
      <c r="T38" s="273">
        <f t="shared" si="24"/>
        <v>3507.6909090909089</v>
      </c>
      <c r="U38" s="129">
        <f t="shared" si="16"/>
        <v>3858.46</v>
      </c>
      <c r="V38" s="129">
        <f t="shared" si="17"/>
        <v>3858.46</v>
      </c>
      <c r="W38" s="151">
        <f>'TAS Apr 2022'!BR15</f>
        <v>0</v>
      </c>
      <c r="X38" s="295">
        <f>'TAS Apr 2022'!BO15</f>
        <v>0</v>
      </c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</row>
    <row r="39" spans="1:44" ht="15" thickBot="1" x14ac:dyDescent="0.2">
      <c r="A39" s="153" t="str">
        <f>'TAS Apr 2022'!K16</f>
        <v>GlowPower</v>
      </c>
      <c r="B39" s="160" t="str">
        <f>'TAS Apr 2022'!L16</f>
        <v xml:space="preserve">Business </v>
      </c>
      <c r="C39" s="133">
        <f>IF('TAS Apr 2022'!BQ16=0,91*'TAS Apr 2022'!M16/100,(91*'TAS Apr 2022'!M16/100)+'TAS Apr 2022'!BQ16/4)</f>
        <v>81.775909090909067</v>
      </c>
      <c r="D39" s="133">
        <f>IF('TAS Apr 2022'!O16="",$C$29*$C$30*'TAS Apr 2022'!N16/100,IF($C$29*$C$30&gt;='TAS Apr 2022'!P16,('TAS Apr 2022'!P16*'TAS Apr 2022'!N16/100),($C$29*$C$30*'TAS Apr 2022'!N16/100)))</f>
        <v>323.0454545454545</v>
      </c>
      <c r="E39" s="133">
        <f>IF(AND('TAS Apr 2022'!P16&gt;0,'TAS Apr 2022'!R16&gt;0),IF($C$29*$C$30&lt;'TAS Apr 2022'!P16,0,IF($C$29*$C$30&lt;=('TAS Apr 2022'!R16+'TAS Apr 2022'!P16),(($C$29*$C$30-'TAS Apr 2022'!P16)*'TAS Apr 2022'!Q16/100),(('TAS Apr 2022'!R16)*'TAS Apr 2022'!Q16/100))),0)</f>
        <v>0</v>
      </c>
      <c r="F39" s="133">
        <f>IF(AND('TAS Apr 2022'!R16&gt;0,'TAS Apr 2022'!T16&gt;0),IF(($C$29*$C$30&lt;'TAS Apr 2022'!T16),(0),($C$29*$C$250-'TAS Apr 2022'!T16)*'TAS Apr 2022'!U16/100),IF(AND('TAS Apr 2022'!R16&gt;0,'TAS Apr 2022'!T16=""),IF(($C$29*$C$30&lt;'TAS Apr 2022'!R16+'TAS Apr 2022'!P16),(0),(($C$29*$C$30-('TAS Apr 2022'!R16+'TAS Apr 2022'!P16))*'TAS Apr 2022'!S16/100)),IF(AND('TAS Apr 2022'!P16&gt;0,'TAS Apr 2022'!R16=""&gt;0),IF(($C$29*$C$30&lt;'TAS Apr 2022'!P16),(0),($C$29*$C$30-'TAS Apr 2022'!P16)*'TAS Apr 2022'!Q16/100),0)))</f>
        <v>0</v>
      </c>
      <c r="G39" s="135">
        <f>($C$29*$C$31)*'TAS Apr 2022'!AI16/100</f>
        <v>381.81818181818176</v>
      </c>
      <c r="H39" s="136">
        <f>($C$29*$C$32)*'TAS Apr 2022'!W16/100</f>
        <v>150.13636363636363</v>
      </c>
      <c r="I39" s="137">
        <f t="shared" si="18"/>
        <v>936.77590909090895</v>
      </c>
      <c r="J39" s="137">
        <f t="shared" si="19"/>
        <v>3419.9999999999995</v>
      </c>
      <c r="K39" s="137">
        <f t="shared" si="20"/>
        <v>3747.1036363636358</v>
      </c>
      <c r="L39" s="138">
        <f t="shared" si="21"/>
        <v>4121.8139999999994</v>
      </c>
      <c r="M39" s="132">
        <f>'TAS Apr 2022'!BC16</f>
        <v>0</v>
      </c>
      <c r="N39" s="132">
        <f>'TAS Apr 2022'!BD16</f>
        <v>0</v>
      </c>
      <c r="O39" s="132">
        <f>'TAS Apr 2022'!BE16</f>
        <v>0</v>
      </c>
      <c r="P39" s="132">
        <f>'TAS Apr 2022'!BF16</f>
        <v>0</v>
      </c>
      <c r="Q39" s="132" t="str">
        <f t="shared" si="22"/>
        <v>No discount</v>
      </c>
      <c r="R39" s="132" t="str">
        <f t="shared" si="15"/>
        <v>Exclusive</v>
      </c>
      <c r="S39" s="221">
        <f t="shared" si="23"/>
        <v>3747.1036363636358</v>
      </c>
      <c r="T39" s="222">
        <f t="shared" si="24"/>
        <v>3747.1036363636358</v>
      </c>
      <c r="U39" s="138">
        <f t="shared" si="16"/>
        <v>4121.8139999999994</v>
      </c>
      <c r="V39" s="138">
        <f t="shared" si="17"/>
        <v>4121.8139999999994</v>
      </c>
      <c r="W39" s="154">
        <f>'TAS Apr 2022'!BR16</f>
        <v>0</v>
      </c>
      <c r="X39" s="297">
        <f>'TAS Apr 2022'!BO16</f>
        <v>0</v>
      </c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</row>
    <row r="40" spans="1:44" ht="14" x14ac:dyDescent="0.15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300"/>
      <c r="U40" s="300"/>
      <c r="V40" s="300"/>
      <c r="W40" s="300"/>
      <c r="X40" s="300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</row>
    <row r="41" spans="1:44" ht="14" x14ac:dyDescent="0.1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91"/>
      <c r="U41" s="91"/>
      <c r="V41" s="91"/>
      <c r="W41" s="91"/>
      <c r="X41" s="91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</row>
    <row r="42" spans="1:44" ht="14" x14ac:dyDescent="0.15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300"/>
      <c r="U42" s="300"/>
      <c r="V42" s="300"/>
      <c r="W42" s="300"/>
      <c r="X42" s="300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</row>
    <row r="43" spans="1:44" ht="14" x14ac:dyDescent="0.1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91"/>
      <c r="U43" s="91"/>
      <c r="V43" s="91"/>
      <c r="W43" s="91"/>
      <c r="X43" s="91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</row>
    <row r="44" spans="1:44" ht="14" x14ac:dyDescent="0.15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300"/>
      <c r="U44" s="300"/>
      <c r="V44" s="300"/>
      <c r="W44" s="300"/>
      <c r="X44" s="300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</row>
    <row r="45" spans="1:44" ht="14" x14ac:dyDescent="0.1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91"/>
      <c r="U45" s="91"/>
      <c r="V45" s="91"/>
      <c r="W45" s="91"/>
      <c r="X45" s="91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</row>
    <row r="46" spans="1:44" ht="14" x14ac:dyDescent="0.15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300"/>
      <c r="U46" s="300"/>
      <c r="V46" s="300"/>
      <c r="W46" s="300"/>
      <c r="X46" s="300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</row>
    <row r="47" spans="1:44" ht="14" x14ac:dyDescent="0.1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91"/>
      <c r="U47" s="91"/>
      <c r="V47" s="91"/>
      <c r="W47" s="91"/>
      <c r="X47" s="91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</row>
    <row r="48" spans="1:44" ht="14" x14ac:dyDescent="0.15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300"/>
      <c r="U48" s="300"/>
      <c r="V48" s="300"/>
      <c r="W48" s="300"/>
      <c r="X48" s="300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</row>
    <row r="49" spans="1:44" ht="14" x14ac:dyDescent="0.15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91"/>
      <c r="U49" s="91"/>
      <c r="V49" s="91"/>
      <c r="W49" s="91"/>
      <c r="X49" s="91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</row>
    <row r="50" spans="1:44" ht="14" x14ac:dyDescent="0.15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300"/>
      <c r="U50" s="300"/>
      <c r="V50" s="300"/>
      <c r="W50" s="300"/>
      <c r="X50" s="300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</row>
    <row r="51" spans="1:44" ht="14" x14ac:dyDescent="0.1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91"/>
      <c r="U51" s="91"/>
      <c r="V51" s="91"/>
      <c r="W51" s="91"/>
      <c r="X51" s="91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</row>
    <row r="52" spans="1:44" ht="14" x14ac:dyDescent="0.1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300"/>
      <c r="U52" s="300"/>
      <c r="V52" s="300"/>
      <c r="W52" s="300"/>
      <c r="X52" s="300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</row>
    <row r="53" spans="1:44" ht="14" x14ac:dyDescent="0.1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91"/>
      <c r="U53" s="91"/>
      <c r="V53" s="91"/>
      <c r="W53" s="91"/>
      <c r="X53" s="91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</row>
    <row r="54" spans="1:44" ht="14" x14ac:dyDescent="0.15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300"/>
      <c r="U54" s="300"/>
      <c r="V54" s="300"/>
      <c r="W54" s="300"/>
      <c r="X54" s="300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</row>
    <row r="55" spans="1:44" ht="14" x14ac:dyDescent="0.1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91"/>
      <c r="U55" s="91"/>
      <c r="V55" s="91"/>
      <c r="W55" s="91"/>
      <c r="X55" s="91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</row>
    <row r="56" spans="1:44" ht="14" x14ac:dyDescent="0.15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300"/>
      <c r="U56" s="300"/>
      <c r="V56" s="300"/>
      <c r="W56" s="300"/>
      <c r="X56" s="300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</row>
    <row r="57" spans="1:44" ht="14" x14ac:dyDescent="0.1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91"/>
      <c r="U57" s="91"/>
      <c r="V57" s="91"/>
      <c r="W57" s="91"/>
      <c r="X57" s="91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</row>
    <row r="58" spans="1:44" ht="14" x14ac:dyDescent="0.15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300"/>
      <c r="U58" s="300"/>
      <c r="V58" s="300"/>
      <c r="W58" s="300"/>
      <c r="X58" s="300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</row>
    <row r="59" spans="1:44" ht="14" x14ac:dyDescent="0.15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91"/>
      <c r="U59" s="91"/>
      <c r="V59" s="91"/>
      <c r="W59" s="91"/>
      <c r="X59" s="91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</row>
    <row r="60" spans="1:44" ht="14" x14ac:dyDescent="0.15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300"/>
      <c r="U60" s="300"/>
      <c r="V60" s="300"/>
      <c r="W60" s="300"/>
      <c r="X60" s="300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</row>
    <row r="61" spans="1:44" ht="14" x14ac:dyDescent="0.1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91"/>
      <c r="U61" s="91"/>
      <c r="V61" s="91"/>
      <c r="W61" s="91"/>
      <c r="X61" s="91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</row>
    <row r="62" spans="1:44" ht="14" x14ac:dyDescent="0.15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300"/>
      <c r="U62" s="300"/>
      <c r="V62" s="300"/>
      <c r="W62" s="300"/>
      <c r="X62" s="300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</row>
    <row r="63" spans="1:44" ht="14" x14ac:dyDescent="0.1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91"/>
      <c r="U63" s="91"/>
      <c r="V63" s="91"/>
      <c r="W63" s="91"/>
      <c r="X63" s="91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</row>
    <row r="64" spans="1:44" ht="14" x14ac:dyDescent="0.1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300"/>
      <c r="U64" s="300"/>
      <c r="V64" s="300"/>
      <c r="W64" s="300"/>
      <c r="X64" s="300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</row>
  </sheetData>
  <sheetProtection algorithmName="SHA-512" hashValue="y543tkyPMQLMYCtSTCZl0ByGO3GExqHKaxlmE7TPoB55CLoNnYzMRuogPxklGALAGYlaEPJzCMcRBBq84V2uFQ==" saltValue="KCx4KLMZ9El4kGfXbAts1g==" spinCount="100000" sheet="1" objects="1" scenarios="1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B3F9-9D54-A046-90A7-7409082B9753}">
  <sheetPr codeName="Sheet23">
    <tabColor theme="9" tint="0.79998168889431442"/>
  </sheetPr>
  <dimension ref="A1:AR63"/>
  <sheetViews>
    <sheetView zoomScaleNormal="100" zoomScalePageLayoutView="120" workbookViewId="0">
      <selection activeCell="C8" sqref="C8:C13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286" t="s">
        <v>149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</row>
    <row r="2" spans="1:44" ht="14" x14ac:dyDescent="0.15">
      <c r="A2" s="287" t="s">
        <v>48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</row>
    <row r="3" spans="1:44" ht="15" thickBot="1" x14ac:dyDescent="0.2">
      <c r="A3" s="286"/>
      <c r="B3" s="286"/>
      <c r="C3" s="286"/>
      <c r="D3" s="286"/>
      <c r="E3" s="286"/>
      <c r="F3" s="286"/>
      <c r="G3" s="288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</row>
    <row r="4" spans="1:44" ht="14" x14ac:dyDescent="0.15">
      <c r="A4" s="62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5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</row>
    <row r="5" spans="1:44" ht="14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7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</row>
    <row r="6" spans="1:44" ht="14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7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286"/>
      <c r="AR6" s="286"/>
    </row>
    <row r="7" spans="1:44" ht="75" x14ac:dyDescent="0.15">
      <c r="A7" s="251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1" t="s">
        <v>84</v>
      </c>
      <c r="G7" s="141" t="s">
        <v>85</v>
      </c>
      <c r="H7" s="141" t="s">
        <v>86</v>
      </c>
      <c r="I7" s="141" t="s">
        <v>87</v>
      </c>
      <c r="J7" s="252" t="s">
        <v>243</v>
      </c>
      <c r="K7" s="253" t="s">
        <v>61</v>
      </c>
      <c r="L7" s="142" t="s">
        <v>246</v>
      </c>
      <c r="M7" s="143" t="s">
        <v>62</v>
      </c>
      <c r="N7" s="143" t="s">
        <v>63</v>
      </c>
      <c r="O7" s="143" t="s">
        <v>64</v>
      </c>
      <c r="P7" s="143" t="s">
        <v>65</v>
      </c>
      <c r="Q7" s="254" t="s">
        <v>244</v>
      </c>
      <c r="R7" s="254" t="s">
        <v>245</v>
      </c>
      <c r="S7" s="255" t="s">
        <v>66</v>
      </c>
      <c r="T7" s="255" t="s">
        <v>67</v>
      </c>
      <c r="U7" s="144" t="s">
        <v>25</v>
      </c>
      <c r="V7" s="144" t="s">
        <v>26</v>
      </c>
      <c r="W7" s="143" t="s">
        <v>290</v>
      </c>
      <c r="X7" s="145" t="s">
        <v>291</v>
      </c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</row>
    <row r="8" spans="1:44" ht="14" x14ac:dyDescent="0.15">
      <c r="A8" s="182" t="str">
        <f>'TAS Oct 2021'!K2</f>
        <v>Aurora Energy</v>
      </c>
      <c r="B8" s="183" t="str">
        <f>'TAS Oct 2021'!L2</f>
        <v>Regulated</v>
      </c>
      <c r="C8" s="184">
        <f>IF('TAS Oct 2021'!BQ2=0,91*'TAS Oct 2021'!M2/100,(91*'TAS Oct 2021'!M2/100)+'TAS Oct 2021'!BQ2/4)</f>
        <v>75.48863636363636</v>
      </c>
      <c r="D8" s="184">
        <f>IF('TAS Oct 2021'!O2="",$C$5*'TAS Oct 2021'!N2/100,IF($C$5&gt;='TAS Oct 2021'!P2,('TAS Oct 2021'!P2*'TAS Oct 2021'!N2/100),($C$5*'TAS Oct 2021'!N2/100)))</f>
        <v>137.81818181818181</v>
      </c>
      <c r="E8" s="184">
        <f>IF(AND('TAS Oct 2021'!P2&gt;0,'TAS Oct 2021'!R2&gt;0),IF($C$5&lt;'TAS Oct 2021'!P2,0,IF($C$5&lt;=('TAS Oct 2021'!R2+'TAS Oct 2021'!P2),(($C$5-'TAS Oct 2021'!P2)*'TAS Oct 2021'!Q2/100),(('TAS Oct 2021'!R2)*'TAS Oct 2021'!Q2/100))),0)</f>
        <v>0</v>
      </c>
      <c r="F8" s="184">
        <f>IF(AND('TAS Oct 2021'!Q2&gt;0,'TAS Oct 2021'!S2&gt;0),IF($C$5&lt;('TAS Oct 2021'!R2+'TAS Oct 2021'!P2),0,IF($C$5&lt;=('TAS Oct 2021'!T2+'TAS Oct 2021'!R2+'TAS Oct 2021'!P2),(($C$5-('TAS Oct 2021'!R2+'TAS Oct 2021'!P2))*'TAS Oct 2021'!S2/100),('TAS Oct 2021'!T2*'TAS Oct 2021'!S2/100))),0)</f>
        <v>0</v>
      </c>
      <c r="G8" s="185">
        <v>0</v>
      </c>
      <c r="H8" s="184">
        <f>IF(AND('TAS Oct 2021'!R2&gt;0,'TAS Oct 2021'!T2&gt;0),IF(($C$5&lt;'TAS Oct 2021'!T2),(0),($C$5-'TAS Oct 2021'!T2)*'TAS Oct 2021'!U2/100),IF(AND('TAS Oct 2021'!R2&gt;0,'TAS Oct 2021'!T2=""),IF(($C$5&lt;'TAS Oct 2021'!R2+'TAS Oct 2021'!P2),(0),(($C$5-('TAS Oct 2021'!R2+'TAS Oct 2021'!P2))*'TAS Oct 2021'!S2/100)),IF(AND('TAS Oct 2021'!P2&gt;0,'TAS Oct 2021'!R2=""&gt;0),IF(($C$5&lt;'TAS Oct 2021'!P2),(0),($C$5-'TAS Oct 2021'!P2)*'TAS Oct 2021'!Q2/100),0)))</f>
        <v>917.59090909090912</v>
      </c>
      <c r="I8" s="187">
        <f>SUM(C8:H8)</f>
        <v>1130.8977272727273</v>
      </c>
      <c r="J8" s="187">
        <f>(I8-C8)*4</f>
        <v>4221.636363636364</v>
      </c>
      <c r="K8" s="187">
        <f>I8*4</f>
        <v>4523.590909090909</v>
      </c>
      <c r="L8" s="188">
        <f>K8*1.1</f>
        <v>4975.9500000000007</v>
      </c>
      <c r="M8" s="189">
        <f>'TAS Oct 2021'!BC2</f>
        <v>0</v>
      </c>
      <c r="N8" s="189">
        <f>'TAS Oct 2021'!BD2</f>
        <v>0</v>
      </c>
      <c r="O8" s="189">
        <f>'TAS Oct 2021'!BE2</f>
        <v>0</v>
      </c>
      <c r="P8" s="189">
        <f>'TAS Oct 2021'!BF2</f>
        <v>0</v>
      </c>
      <c r="Q8" s="189" t="str">
        <f>IF(SUM(M8:P8)=0,"No discount",IF(M8&gt;0,"Guaranteed off bill",IF(N8&gt;0,"Guaranteed off usage",IF(O8&gt;0,"Pay-on-time off bill","Pay-on-time off usage"))))</f>
        <v>No discount</v>
      </c>
      <c r="R8" s="189" t="str">
        <f t="shared" ref="R8:R10" si="0">IF(OR(A8="Origin Energy",A8="Red Energy",A8="Powershop"),"Inclusive","Exclusive")</f>
        <v>Exclusive</v>
      </c>
      <c r="S8" s="22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4523.590909090909</v>
      </c>
      <c r="T8" s="22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4523.590909090909</v>
      </c>
      <c r="U8" s="188">
        <f t="shared" ref="U8:V10" si="1">S8*1.1</f>
        <v>4975.9500000000007</v>
      </c>
      <c r="V8" s="188">
        <f t="shared" si="1"/>
        <v>4975.9500000000007</v>
      </c>
      <c r="W8" s="190">
        <f>'TAS Oct 2021'!BR2</f>
        <v>0</v>
      </c>
      <c r="X8" s="191">
        <f>'TAS Oct 2021'!BO2</f>
        <v>0</v>
      </c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</row>
    <row r="9" spans="1:44" ht="14" x14ac:dyDescent="0.15">
      <c r="A9" s="150" t="str">
        <f>'TAS Oct 2021'!K3</f>
        <v>1st Energy</v>
      </c>
      <c r="B9" s="159" t="str">
        <f>'TAS Oct 2021'!L3</f>
        <v>1st Saver</v>
      </c>
      <c r="C9" s="124">
        <f>IF('TAS Oct 2021'!BQ3=0,91*'TAS Oct 2021'!M3/100,(91*'TAS Oct 2021'!M3/100)+'TAS Oct 2021'!BQ3/4)</f>
        <v>75.48863636363636</v>
      </c>
      <c r="D9" s="124">
        <f>IF('TAS Oct 2021'!O3="",$C$5*'TAS Oct 2021'!N3/100,IF($C$5&gt;='TAS Oct 2021'!P3,('TAS Oct 2021'!P3*'TAS Oct 2021'!N3/100),($C$5*'TAS Oct 2021'!N3/100)))</f>
        <v>137.81818181818181</v>
      </c>
      <c r="E9" s="124">
        <f>IF(AND('TAS Oct 2021'!P3&gt;0,'TAS Oct 2021'!R3&gt;0),IF($C$5&lt;'TAS Oct 2021'!P3,0,IF($C$5&lt;=('TAS Oct 2021'!R3+'TAS Oct 2021'!P3),(($C$5-'TAS Oct 2021'!P3)*'TAS Oct 2021'!Q3/100),(('TAS Oct 2021'!R3)*'TAS Oct 2021'!Q3/100))),0)</f>
        <v>0</v>
      </c>
      <c r="F9" s="124">
        <f>IF(AND('TAS Oct 2021'!Q3&gt;0,'TAS Oct 2021'!S3&gt;0),IF($C$5&lt;('TAS Oct 2021'!R3+'TAS Oct 2021'!P3),0,IF($C$5&lt;=('TAS Oct 2021'!T3+'TAS Oct 2021'!R3+'TAS Oct 2021'!P3),(($C$5-('TAS Oct 2021'!R3+'TAS Oct 2021'!P3))*'TAS Oct 2021'!S3/100),('TAS Oct 2021'!T3*'TAS Oct 2021'!S3/100))),0)</f>
        <v>0</v>
      </c>
      <c r="G9" s="126">
        <v>0</v>
      </c>
      <c r="H9" s="124">
        <f>IF(AND('TAS Oct 2021'!R3&gt;0,'TAS Oct 2021'!T3&gt;0),IF(($C$5&lt;'TAS Oct 2021'!T3),(0),($C$5-'TAS Oct 2021'!T3)*'TAS Oct 2021'!U3/100),IF(AND('TAS Oct 2021'!R3&gt;0,'TAS Oct 2021'!T3=""),IF(($C$5&lt;'TAS Oct 2021'!R3+'TAS Oct 2021'!P3),(0),(($C$5-('TAS Oct 2021'!R3+'TAS Oct 2021'!P3))*'TAS Oct 2021'!S3/100)),IF(AND('TAS Oct 2021'!P3&gt;0,'TAS Oct 2021'!R3=""&gt;0),IF(($C$5&lt;'TAS Oct 2021'!P3),(0),($C$5-'TAS Oct 2021'!P3)*'TAS Oct 2021'!Q3/100),0)))</f>
        <v>917.18181818181824</v>
      </c>
      <c r="I9" s="128">
        <f>SUM(C9:H9)</f>
        <v>1130.4886363636365</v>
      </c>
      <c r="J9" s="128">
        <f>(I9-C9)*4</f>
        <v>4220.0000000000009</v>
      </c>
      <c r="K9" s="128">
        <f>I9*4</f>
        <v>4521.954545454546</v>
      </c>
      <c r="L9" s="129">
        <f>K9*1.1</f>
        <v>4974.1500000000005</v>
      </c>
      <c r="M9" s="123">
        <f>'TAS Oct 2021'!BC3</f>
        <v>0</v>
      </c>
      <c r="N9" s="123">
        <f>'TAS Oct 2021'!BD3</f>
        <v>0</v>
      </c>
      <c r="O9" s="123">
        <f>'TAS Oct 2021'!BE3</f>
        <v>0</v>
      </c>
      <c r="P9" s="123">
        <f>'TAS Oct 2021'!BF3</f>
        <v>5</v>
      </c>
      <c r="Q9" s="123" t="str">
        <f>IF(SUM(M9:P9)=0,"No discount",IF(M9&gt;0,"Guaranteed off bill",IF(N9&gt;0,"Guaranteed off usage",IF(O9&gt;0,"Pay-on-time off bill","Pay-on-time off usage"))))</f>
        <v>Pay-on-time off usage</v>
      </c>
      <c r="R9" s="123" t="str">
        <f t="shared" si="0"/>
        <v>Exclusive</v>
      </c>
      <c r="S9" s="272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4521.954545454546</v>
      </c>
      <c r="T9" s="273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4310.954545454546</v>
      </c>
      <c r="U9" s="129">
        <f t="shared" si="1"/>
        <v>4974.1500000000005</v>
      </c>
      <c r="V9" s="129">
        <f t="shared" si="1"/>
        <v>4742.0500000000011</v>
      </c>
      <c r="W9" s="294">
        <f>'TAS Oct 2021'!BR3</f>
        <v>0</v>
      </c>
      <c r="X9" s="295">
        <f>'TAS Oct 2021'!BO3</f>
        <v>12</v>
      </c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</row>
    <row r="10" spans="1:44" ht="14" x14ac:dyDescent="0.15">
      <c r="A10" s="150" t="str">
        <f>'TAS Oct 2021'!K4</f>
        <v>Future X Power</v>
      </c>
      <c r="B10" s="159" t="str">
        <f>'TAS Oct 2021'!L4</f>
        <v>Flexi Saver</v>
      </c>
      <c r="C10" s="124">
        <f>IF('TAS Oct 2021'!BQ4=0,91*'TAS Oct 2021'!M4/100,(91*'TAS Oct 2021'!M4/100)+'TAS Oct 2021'!BQ4/4)</f>
        <v>78.177272727272722</v>
      </c>
      <c r="D10" s="124">
        <f>IF('TAS Oct 2021'!O4="",$C$5*'TAS Oct 2021'!N4/100,IF($C$5&gt;='TAS Oct 2021'!P4,('TAS Oct 2021'!P4*'TAS Oct 2021'!N4/100),($C$5*'TAS Oct 2021'!N4/100)))</f>
        <v>142.72727272727269</v>
      </c>
      <c r="E10" s="124">
        <f>IF(AND('TAS Oct 2021'!P4&gt;0,'TAS Oct 2021'!R4&gt;0),IF($C$5&lt;'TAS Oct 2021'!P4,0,IF($C$5&lt;=('TAS Oct 2021'!R4+'TAS Oct 2021'!P4),(($C$5-'TAS Oct 2021'!P4)*'TAS Oct 2021'!Q4/100),(('TAS Oct 2021'!R4)*'TAS Oct 2021'!Q4/100))),0)</f>
        <v>0</v>
      </c>
      <c r="F10" s="124">
        <f>IF(AND('TAS Oct 2021'!Q4&gt;0,'TAS Oct 2021'!S4&gt;0),IF($C$5&lt;('TAS Oct 2021'!R4+'TAS Oct 2021'!P4),0,IF($C$5&lt;=('TAS Oct 2021'!T4+'TAS Oct 2021'!R4+'TAS Oct 2021'!P4),(($C$5-('TAS Oct 2021'!R4+'TAS Oct 2021'!P4))*'TAS Oct 2021'!S4/100),('TAS Oct 2021'!T4*'TAS Oct 2021'!S4/100))),0)</f>
        <v>0</v>
      </c>
      <c r="G10" s="126">
        <v>0</v>
      </c>
      <c r="H10" s="124">
        <f>IF(AND('TAS Oct 2021'!R4&gt;0,'TAS Oct 2021'!T4&gt;0),IF(($C$5&lt;'TAS Oct 2021'!T4),(0),($C$5-'TAS Oct 2021'!T4)*'TAS Oct 2021'!U4/100),IF(AND('TAS Oct 2021'!R4&gt;0,'TAS Oct 2021'!T4=""),IF(($C$5&lt;'TAS Oct 2021'!R4+'TAS Oct 2021'!P4),(0),(($C$5-('TAS Oct 2021'!R4+'TAS Oct 2021'!P4))*'TAS Oct 2021'!S4/100)),IF(AND('TAS Oct 2021'!P4&gt;0,'TAS Oct 2021'!R4=""&gt;0),IF(($C$5&lt;'TAS Oct 2021'!P4),(0),($C$5-'TAS Oct 2021'!P4)*'TAS Oct 2021'!Q4/100),0)))</f>
        <v>949.09090909090912</v>
      </c>
      <c r="I10" s="128">
        <f>SUM(C10:H10)</f>
        <v>1169.9954545454545</v>
      </c>
      <c r="J10" s="128">
        <f>(I10-C10)*4</f>
        <v>4367.272727272727</v>
      </c>
      <c r="K10" s="128">
        <f>I10*4</f>
        <v>4679.9818181818182</v>
      </c>
      <c r="L10" s="129">
        <f>K10*1.1</f>
        <v>5147.9800000000005</v>
      </c>
      <c r="M10" s="123">
        <f>'TAS Oct 2021'!BC4</f>
        <v>0</v>
      </c>
      <c r="N10" s="123">
        <f>'TAS Oct 2021'!BD4</f>
        <v>0</v>
      </c>
      <c r="O10" s="123">
        <f>'TAS Oct 2021'!BE4</f>
        <v>3</v>
      </c>
      <c r="P10" s="123">
        <f>'TAS Oct 2021'!BF4</f>
        <v>0</v>
      </c>
      <c r="Q10" s="123" t="str">
        <f>IF(SUM(M10:P10)=0,"No discount",IF(M10&gt;0,"Guaranteed off bill",IF(N10&gt;0,"Guaranteed off usage",IF(O10&gt;0,"Pay-on-time off bill","Pay-on-time off usage"))))</f>
        <v>Pay-on-time off bill</v>
      </c>
      <c r="R10" s="123" t="str">
        <f t="shared" si="0"/>
        <v>Exclusive</v>
      </c>
      <c r="S10" s="272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4679.9818181818182</v>
      </c>
      <c r="T10" s="273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4539.5823636363639</v>
      </c>
      <c r="U10" s="129">
        <f t="shared" si="1"/>
        <v>5147.9800000000005</v>
      </c>
      <c r="V10" s="129">
        <f t="shared" si="1"/>
        <v>4993.5406000000003</v>
      </c>
      <c r="W10" s="294">
        <f>'TAS Oct 2021'!BR4</f>
        <v>0</v>
      </c>
      <c r="X10" s="295">
        <f>'TAS Oct 2021'!BO4</f>
        <v>0</v>
      </c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</row>
    <row r="11" spans="1:44" ht="14" x14ac:dyDescent="0.15">
      <c r="A11" s="150" t="str">
        <f>'TAS Oct 2021'!K5</f>
        <v>Covau</v>
      </c>
      <c r="B11" s="159" t="str">
        <f>'TAS Oct 2021'!L5</f>
        <v>Freedom</v>
      </c>
      <c r="C11" s="124">
        <f>IF('TAS Oct 2021'!BQ5=0,91*'TAS Oct 2021'!M5/100,(91*'TAS Oct 2021'!M5/100)+'TAS Oct 2021'!BQ5/4)</f>
        <v>75.48863636363636</v>
      </c>
      <c r="D11" s="124">
        <f>IF('TAS Oct 2021'!O5="",$C$5*'TAS Oct 2021'!N5/100,IF($C$5&gt;='TAS Oct 2021'!P5,('TAS Oct 2021'!P5*'TAS Oct 2021'!N5/100),($C$5*'TAS Oct 2021'!N5/100)))</f>
        <v>137.81818181818181</v>
      </c>
      <c r="E11" s="124">
        <f>IF(AND('TAS Oct 2021'!P5&gt;0,'TAS Oct 2021'!R5&gt;0),IF($C$5&lt;'TAS Oct 2021'!P5,0,IF($C$5&lt;=('TAS Oct 2021'!R5+'TAS Oct 2021'!P5),(($C$5-'TAS Oct 2021'!P5)*'TAS Oct 2021'!Q5/100),(('TAS Oct 2021'!R5)*'TAS Oct 2021'!Q5/100))),0)</f>
        <v>0</v>
      </c>
      <c r="F11" s="124">
        <f>IF(AND('TAS Oct 2021'!Q5&gt;0,'TAS Oct 2021'!S5&gt;0),IF($C$5&lt;('TAS Oct 2021'!R5+'TAS Oct 2021'!P5),0,IF($C$5&lt;=('TAS Oct 2021'!T5+'TAS Oct 2021'!R5+'TAS Oct 2021'!P5),(($C$5-('TAS Oct 2021'!R5+'TAS Oct 2021'!P5))*'TAS Oct 2021'!S5/100),('TAS Oct 2021'!T5*'TAS Oct 2021'!S5/100))),0)</f>
        <v>0</v>
      </c>
      <c r="G11" s="126">
        <v>0</v>
      </c>
      <c r="H11" s="124">
        <f>IF(AND('TAS Oct 2021'!R5&gt;0,'TAS Oct 2021'!T5&gt;0),IF(($C$5&lt;'TAS Oct 2021'!T5),(0),($C$5-'TAS Oct 2021'!T5)*'TAS Oct 2021'!U5/100),IF(AND('TAS Oct 2021'!R5&gt;0,'TAS Oct 2021'!T5=""),IF(($C$5&lt;'TAS Oct 2021'!R5+'TAS Oct 2021'!P5),(0),(($C$5-('TAS Oct 2021'!R5+'TAS Oct 2021'!P5))*'TAS Oct 2021'!S5/100)),IF(AND('TAS Oct 2021'!P5&gt;0,'TAS Oct 2021'!R5=""&gt;0),IF(($C$5&lt;'TAS Oct 2021'!P5),(0),($C$5-'TAS Oct 2021'!P5)*'TAS Oct 2021'!Q5/100),0)))</f>
        <v>917.59090909090912</v>
      </c>
      <c r="I11" s="128">
        <f t="shared" ref="I11:I13" si="2">SUM(C11:H11)</f>
        <v>1130.8977272727273</v>
      </c>
      <c r="J11" s="128">
        <f t="shared" ref="J11:J13" si="3">(I11-C11)*4</f>
        <v>4221.636363636364</v>
      </c>
      <c r="K11" s="128">
        <f t="shared" ref="K11:K13" si="4">I11*4</f>
        <v>4523.590909090909</v>
      </c>
      <c r="L11" s="129">
        <f t="shared" ref="L11:L13" si="5">K11*1.1</f>
        <v>4975.9500000000007</v>
      </c>
      <c r="M11" s="123">
        <f>'TAS Oct 2021'!BC5</f>
        <v>0</v>
      </c>
      <c r="N11" s="123">
        <f>'TAS Oct 2021'!BD5</f>
        <v>0</v>
      </c>
      <c r="O11" s="123">
        <f>'TAS Oct 2021'!BE5</f>
        <v>5</v>
      </c>
      <c r="P11" s="123">
        <f>'TAS Oct 2021'!BF5</f>
        <v>0</v>
      </c>
      <c r="Q11" s="123" t="str">
        <f t="shared" ref="Q11:Q13" si="6">IF(SUM(M11:P11)=0,"No discount",IF(M11&gt;0,"Guaranteed off bill",IF(N11&gt;0,"Guaranteed off usage",IF(O11&gt;0,"Pay-on-time off bill","Pay-on-time off usage"))))</f>
        <v>Pay-on-time off bill</v>
      </c>
      <c r="R11" s="123" t="str">
        <f t="shared" ref="R11:R13" si="7">IF(OR(A11="Origin Energy",A11="Red Energy",A11="Powershop"),"Inclusive","Exclusive")</f>
        <v>Exclusive</v>
      </c>
      <c r="S11" s="272">
        <f t="shared" ref="S11:S13" si="8">IF(AND(Q11="Guaranteed off bill",R11="Inclusive"),((K11*1.1)-((K11*1.1)*M11/100))/1.1,IF(AND(Q11="Guaranteed off usage",R11="Inclusive"),((K11*1.1)-((J11*1.1)*N11/100))/1.1,IF(AND(Q11="Guaranteed off bill",R11="Exclusive"),K11-(K11*M11/100),IF(AND(Q11="Guaranteed off usage",R11="Exclusive"),K11-(J11*N11/100),IF(R11="Inclusive",((K11*1.1))/1.1,K11)))))</f>
        <v>4523.590909090909</v>
      </c>
      <c r="T11" s="273">
        <f t="shared" ref="T11:T13" si="9">IF(AND(Q11="Pay-on-time off bill",R11="Inclusive"),((S11*1.1)-((S11*1.1)*O11/100))/1.1,IF(AND(Q11="Pay-on-time off usage",R11="Inclusive"),((S11*1.1)-((J11*1.1)*P11/100))/1.1,IF(AND(Q11="Pay-on-time off bill",R11="Exclusive"),S11-(S11*O11/100),IF(AND(Q11="Pay-on-time off usage",R11="Exclusive"),S11-(J11*P11/100),IF(R11="Inclusive",((S11*1.1))/1.1,S11)))))</f>
        <v>4297.4113636363636</v>
      </c>
      <c r="U11" s="129">
        <f t="shared" ref="U11:U13" si="10">S11*1.1</f>
        <v>4975.9500000000007</v>
      </c>
      <c r="V11" s="129">
        <f t="shared" ref="V11:V13" si="11">T11*1.1</f>
        <v>4727.1525000000001</v>
      </c>
      <c r="W11" s="294">
        <f>'TAS Oct 2021'!BR5</f>
        <v>0</v>
      </c>
      <c r="X11" s="295">
        <f>'TAS Oct 2021'!BO5</f>
        <v>0</v>
      </c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</row>
    <row r="12" spans="1:44" ht="14" x14ac:dyDescent="0.15">
      <c r="A12" s="150" t="str">
        <f>'TAS Oct 2021'!K6</f>
        <v>Energy Locals</v>
      </c>
      <c r="B12" s="159" t="str">
        <f>'TAS Oct 2021'!L6</f>
        <v>Business Member</v>
      </c>
      <c r="C12" s="124">
        <f>IF('TAS Oct 2021'!BQ6=0,91*'TAS Oct 2021'!M6/100,(91*'TAS Oct 2021'!M6/100)+'TAS Oct 2021'!BQ6/4)</f>
        <v>111.21363636363635</v>
      </c>
      <c r="D12" s="124">
        <f>IF('TAS Oct 2021'!O6="",$C$5*'TAS Oct 2021'!N6/100,IF($C$5&gt;='TAS Oct 2021'!P6,('TAS Oct 2021'!P6*'TAS Oct 2021'!N6/100),($C$5*'TAS Oct 2021'!N6/100)))</f>
        <v>127.72727272727272</v>
      </c>
      <c r="E12" s="124">
        <f>IF(AND('TAS Oct 2021'!P6&gt;0,'TAS Oct 2021'!R6&gt;0),IF($C$5&lt;'TAS Oct 2021'!P6,0,IF($C$5&lt;=('TAS Oct 2021'!R6+'TAS Oct 2021'!P6),(($C$5-'TAS Oct 2021'!P6)*'TAS Oct 2021'!Q6/100),(('TAS Oct 2021'!R6)*'TAS Oct 2021'!Q6/100))),0)</f>
        <v>0</v>
      </c>
      <c r="F12" s="124">
        <f>IF(AND('TAS Oct 2021'!Q6&gt;0,'TAS Oct 2021'!S6&gt;0),IF($C$5&lt;('TAS Oct 2021'!R6+'TAS Oct 2021'!P6),0,IF($C$5&lt;=('TAS Oct 2021'!T6+'TAS Oct 2021'!R6+'TAS Oct 2021'!P6),(($C$5-('TAS Oct 2021'!R6+'TAS Oct 2021'!P6))*'TAS Oct 2021'!S6/100),('TAS Oct 2021'!T6*'TAS Oct 2021'!S6/100))),0)</f>
        <v>0</v>
      </c>
      <c r="G12" s="126">
        <v>0</v>
      </c>
      <c r="H12" s="124">
        <f>IF(AND('TAS Oct 2021'!R6&gt;0,'TAS Oct 2021'!T6&gt;0),IF(($C$5&lt;'TAS Oct 2021'!T6),(0),($C$5-'TAS Oct 2021'!T6)*'TAS Oct 2021'!U6/100),IF(AND('TAS Oct 2021'!R6&gt;0,'TAS Oct 2021'!T6=""),IF(($C$5&lt;'TAS Oct 2021'!R6+'TAS Oct 2021'!P6),(0),(($C$5-('TAS Oct 2021'!R6+'TAS Oct 2021'!P6))*'TAS Oct 2021'!S6/100)),IF(AND('TAS Oct 2021'!P6&gt;0,'TAS Oct 2021'!R6=""&gt;0),IF(($C$5&lt;'TAS Oct 2021'!P6),(0),($C$5-'TAS Oct 2021'!P6)*'TAS Oct 2021'!Q6/100),0)))</f>
        <v>850.90909090909076</v>
      </c>
      <c r="I12" s="128">
        <f t="shared" si="2"/>
        <v>1089.8499999999999</v>
      </c>
      <c r="J12" s="128">
        <f t="shared" si="3"/>
        <v>3914.545454545454</v>
      </c>
      <c r="K12" s="128">
        <f t="shared" si="4"/>
        <v>4359.3999999999996</v>
      </c>
      <c r="L12" s="129">
        <f t="shared" si="5"/>
        <v>4795.34</v>
      </c>
      <c r="M12" s="123">
        <f>'TAS Oct 2021'!BC6</f>
        <v>0</v>
      </c>
      <c r="N12" s="123">
        <f>'TAS Oct 2021'!BD6</f>
        <v>0</v>
      </c>
      <c r="O12" s="123">
        <f>'TAS Oct 2021'!BE6</f>
        <v>0</v>
      </c>
      <c r="P12" s="123">
        <f>'TAS Oct 2021'!BF6</f>
        <v>0</v>
      </c>
      <c r="Q12" s="123" t="str">
        <f t="shared" si="6"/>
        <v>No discount</v>
      </c>
      <c r="R12" s="123" t="str">
        <f t="shared" si="7"/>
        <v>Exclusive</v>
      </c>
      <c r="S12" s="272">
        <f t="shared" si="8"/>
        <v>4359.3999999999996</v>
      </c>
      <c r="T12" s="273">
        <f t="shared" si="9"/>
        <v>4359.3999999999996</v>
      </c>
      <c r="U12" s="129">
        <f t="shared" si="10"/>
        <v>4795.34</v>
      </c>
      <c r="V12" s="129">
        <f t="shared" si="11"/>
        <v>4795.34</v>
      </c>
      <c r="W12" s="294">
        <f>'TAS Oct 2021'!BR6</f>
        <v>0</v>
      </c>
      <c r="X12" s="295">
        <f>'TAS Oct 2021'!BO6</f>
        <v>0</v>
      </c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</row>
    <row r="13" spans="1:44" ht="15" thickBot="1" x14ac:dyDescent="0.2">
      <c r="A13" s="153" t="str">
        <f>'TAS Oct 2021'!K7</f>
        <v>Glow Power</v>
      </c>
      <c r="B13" s="160" t="str">
        <f>'TAS Oct 2021'!L7</f>
        <v>Market Offer</v>
      </c>
      <c r="C13" s="133">
        <f>IF('TAS Oct 2021'!BQ7=0,91*'TAS Oct 2021'!M7/100,(91*'TAS Oct 2021'!M7/100)+'TAS Oct 2021'!BQ7/4)</f>
        <v>75.36454545454545</v>
      </c>
      <c r="D13" s="133">
        <f>IF('TAS Oct 2021'!O7="",$C$5*'TAS Oct 2021'!N7/100,IF($C$5&gt;='TAS Oct 2021'!P7,('TAS Oct 2021'!P7*'TAS Oct 2021'!N7/100),($C$5*'TAS Oct 2021'!N7/100)))</f>
        <v>1045.4545454545453</v>
      </c>
      <c r="E13" s="133">
        <f>IF(AND('TAS Oct 2021'!P7&gt;0,'TAS Oct 2021'!R7&gt;0),IF($C$5&lt;'TAS Oct 2021'!P7,0,IF($C$5&lt;=('TAS Oct 2021'!R7+'TAS Oct 2021'!P7),(($C$5-'TAS Oct 2021'!P7)*'TAS Oct 2021'!Q7/100),(('TAS Oct 2021'!R7)*'TAS Oct 2021'!Q7/100))),0)</f>
        <v>0</v>
      </c>
      <c r="F13" s="133">
        <f>IF(AND('TAS Oct 2021'!Q7&gt;0,'TAS Oct 2021'!S7&gt;0),IF($C$5&lt;('TAS Oct 2021'!R7+'TAS Oct 2021'!P7),0,IF($C$5&lt;=('TAS Oct 2021'!T7+'TAS Oct 2021'!R7+'TAS Oct 2021'!P7),(($C$5-('TAS Oct 2021'!R7+'TAS Oct 2021'!P7))*'TAS Oct 2021'!S7/100),('TAS Oct 2021'!T7*'TAS Oct 2021'!S7/100))),0)</f>
        <v>0</v>
      </c>
      <c r="G13" s="135">
        <v>0</v>
      </c>
      <c r="H13" s="133">
        <f>IF(AND('TAS Oct 2021'!R7&gt;0,'TAS Oct 2021'!T7&gt;0),IF(($C$5&lt;'TAS Oct 2021'!T7),(0),($C$5-'TAS Oct 2021'!T7)*'TAS Oct 2021'!U7/100),IF(AND('TAS Oct 2021'!R7&gt;0,'TAS Oct 2021'!T7=""),IF(($C$5&lt;'TAS Oct 2021'!R7+'TAS Oct 2021'!P7),(0),(($C$5-('TAS Oct 2021'!R7+'TAS Oct 2021'!P7))*'TAS Oct 2021'!S7/100)),IF(AND('TAS Oct 2021'!P7&gt;0,'TAS Oct 2021'!R7=""&gt;0),IF(($C$5&lt;'TAS Oct 2021'!P7),(0),($C$5-'TAS Oct 2021'!P7)*'TAS Oct 2021'!Q7/100),0)))</f>
        <v>0</v>
      </c>
      <c r="I13" s="137">
        <f t="shared" si="2"/>
        <v>1120.8190909090906</v>
      </c>
      <c r="J13" s="137">
        <f t="shared" si="3"/>
        <v>4181.8181818181811</v>
      </c>
      <c r="K13" s="137">
        <f t="shared" si="4"/>
        <v>4483.2763636363625</v>
      </c>
      <c r="L13" s="138">
        <f t="shared" si="5"/>
        <v>4931.6039999999994</v>
      </c>
      <c r="M13" s="132">
        <f>'TAS Oct 2021'!BC7</f>
        <v>0</v>
      </c>
      <c r="N13" s="132">
        <f>'TAS Oct 2021'!BD7</f>
        <v>0</v>
      </c>
      <c r="O13" s="132">
        <f>'TAS Oct 2021'!BE7</f>
        <v>0</v>
      </c>
      <c r="P13" s="132">
        <f>'TAS Oct 2021'!BF7</f>
        <v>0</v>
      </c>
      <c r="Q13" s="132" t="str">
        <f t="shared" si="6"/>
        <v>No discount</v>
      </c>
      <c r="R13" s="132" t="str">
        <f t="shared" si="7"/>
        <v>Exclusive</v>
      </c>
      <c r="S13" s="221">
        <f t="shared" si="8"/>
        <v>4483.2763636363625</v>
      </c>
      <c r="T13" s="222">
        <f t="shared" si="9"/>
        <v>4483.2763636363625</v>
      </c>
      <c r="U13" s="138">
        <f t="shared" si="10"/>
        <v>4931.6039999999994</v>
      </c>
      <c r="V13" s="138">
        <f t="shared" si="11"/>
        <v>4931.6039999999994</v>
      </c>
      <c r="W13" s="296">
        <f>'TAS Oct 2021'!BR7</f>
        <v>0</v>
      </c>
      <c r="X13" s="297">
        <f>'TAS Oct 2021'!BO7</f>
        <v>0</v>
      </c>
      <c r="Y13" s="289"/>
      <c r="Z13" s="289"/>
      <c r="AA13" s="289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89"/>
      <c r="AN13" s="289"/>
      <c r="AO13" s="289"/>
      <c r="AP13" s="289"/>
      <c r="AQ13" s="289"/>
      <c r="AR13" s="289"/>
    </row>
    <row r="14" spans="1:44" ht="14" x14ac:dyDescent="0.15">
      <c r="A14" s="290"/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3"/>
      <c r="U14" s="293"/>
      <c r="V14" s="293"/>
      <c r="W14" s="293"/>
      <c r="X14" s="293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</row>
    <row r="15" spans="1:44" ht="15" thickBot="1" x14ac:dyDescent="0.2">
      <c r="A15" s="286"/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  <c r="AO15" s="289"/>
      <c r="AP15" s="289"/>
      <c r="AQ15" s="289"/>
      <c r="AR15" s="289"/>
    </row>
    <row r="16" spans="1:44" ht="14" x14ac:dyDescent="0.15">
      <c r="A16" s="62" t="s">
        <v>96</v>
      </c>
      <c r="B16" s="63"/>
      <c r="C16" s="63"/>
      <c r="D16" s="79"/>
      <c r="E16" s="79"/>
      <c r="F16" s="79"/>
      <c r="G16" s="79"/>
      <c r="H16" s="79"/>
      <c r="I16" s="80"/>
      <c r="J16" s="80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5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</row>
    <row r="17" spans="1:44" ht="14" x14ac:dyDescent="0.15">
      <c r="A17" s="66" t="s">
        <v>79</v>
      </c>
      <c r="B17" s="64"/>
      <c r="C17" s="85">
        <v>5000</v>
      </c>
      <c r="D17" s="81"/>
      <c r="E17" s="81"/>
      <c r="F17" s="81"/>
      <c r="G17" s="81"/>
      <c r="H17" s="81"/>
      <c r="I17" s="82"/>
      <c r="J17" s="82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7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89"/>
      <c r="AR17" s="289"/>
    </row>
    <row r="18" spans="1:44" ht="14" x14ac:dyDescent="0.15">
      <c r="A18" s="66" t="s">
        <v>97</v>
      </c>
      <c r="B18" s="64"/>
      <c r="C18" s="86">
        <v>0.7</v>
      </c>
      <c r="D18" s="81"/>
      <c r="E18" s="81"/>
      <c r="F18" s="81"/>
      <c r="G18" s="81"/>
      <c r="H18" s="81"/>
      <c r="I18" s="82"/>
      <c r="J18" s="82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7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</row>
    <row r="19" spans="1:44" ht="14" x14ac:dyDescent="0.15">
      <c r="A19" s="66" t="s">
        <v>148</v>
      </c>
      <c r="B19" s="64"/>
      <c r="C19" s="86">
        <v>0.3</v>
      </c>
      <c r="D19" s="81"/>
      <c r="E19" s="81"/>
      <c r="F19" s="81"/>
      <c r="G19" s="81"/>
      <c r="H19" s="81"/>
      <c r="I19" s="82"/>
      <c r="J19" s="82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7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</row>
    <row r="20" spans="1:44" ht="14" x14ac:dyDescent="0.15">
      <c r="A20" s="66"/>
      <c r="B20" s="64"/>
      <c r="C20" s="81"/>
      <c r="D20" s="81"/>
      <c r="E20" s="81"/>
      <c r="F20" s="81"/>
      <c r="G20" s="81"/>
      <c r="H20" s="81"/>
      <c r="I20" s="82"/>
      <c r="J20" s="82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7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</row>
    <row r="21" spans="1:44" ht="75" x14ac:dyDescent="0.15">
      <c r="A21" s="251" t="s">
        <v>73</v>
      </c>
      <c r="B21" s="147" t="s">
        <v>80</v>
      </c>
      <c r="C21" s="141" t="s">
        <v>81</v>
      </c>
      <c r="D21" s="141" t="s">
        <v>82</v>
      </c>
      <c r="E21" s="141" t="s">
        <v>83</v>
      </c>
      <c r="F21" s="141" t="s">
        <v>84</v>
      </c>
      <c r="G21" s="141" t="s">
        <v>86</v>
      </c>
      <c r="H21" s="141" t="s">
        <v>96</v>
      </c>
      <c r="I21" s="141" t="s">
        <v>87</v>
      </c>
      <c r="J21" s="252" t="s">
        <v>243</v>
      </c>
      <c r="K21" s="253" t="s">
        <v>61</v>
      </c>
      <c r="L21" s="142" t="s">
        <v>246</v>
      </c>
      <c r="M21" s="143" t="s">
        <v>62</v>
      </c>
      <c r="N21" s="143" t="s">
        <v>63</v>
      </c>
      <c r="O21" s="143" t="s">
        <v>64</v>
      </c>
      <c r="P21" s="143" t="s">
        <v>65</v>
      </c>
      <c r="Q21" s="254" t="s">
        <v>244</v>
      </c>
      <c r="R21" s="254" t="s">
        <v>245</v>
      </c>
      <c r="S21" s="255" t="s">
        <v>66</v>
      </c>
      <c r="T21" s="255" t="s">
        <v>67</v>
      </c>
      <c r="U21" s="144" t="s">
        <v>25</v>
      </c>
      <c r="V21" s="144" t="s">
        <v>26</v>
      </c>
      <c r="W21" s="143" t="s">
        <v>68</v>
      </c>
      <c r="X21" s="145" t="s">
        <v>95</v>
      </c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</row>
    <row r="22" spans="1:44" ht="14" x14ac:dyDescent="0.15">
      <c r="A22" s="182" t="str">
        <f>'TAS Oct 2021'!K8</f>
        <v>Aurora Energy</v>
      </c>
      <c r="B22" s="183" t="str">
        <f>'TAS Oct 2021'!L8</f>
        <v>Regulated</v>
      </c>
      <c r="C22" s="184">
        <f>IF('TAS Oct 2021'!BQ8=0,91*'TAS Oct 2021'!M8/100,(91*'TAS Oct 2021'!M8/100)+'TAS Oct 2021'!BQ8/4)</f>
        <v>92.844818181818169</v>
      </c>
      <c r="D22" s="184">
        <f>IF('TAS Oct 2021'!O8="",$C$17*$C$18*'TAS Oct 2021'!N8/100,IF($C$17*$C$18&gt;='TAS Oct 2021'!P8,('TAS Oct 2021'!P8*'TAS Oct 2021'!N8/100),($C$17*$C$18*'TAS Oct 2021'!N8/100)))</f>
        <v>137.81818181818181</v>
      </c>
      <c r="E22" s="184">
        <f>IF(AND('TAS Oct 2021'!P8&gt;0,'TAS Oct 2021'!R8&gt;0),IF($C$17*$C$18&lt;'TAS Oct 2021'!P8,0,IF($C$17*$C$18&lt;=('TAS Oct 2021'!R8+'TAS Oct 2021'!P8),(($C$17*$C$18-'TAS Oct 2021'!P8)*'TAS Oct 2021'!Q8/100),(('TAS Oct 2021'!R8)*'TAS Oct 2021'!Q8/100))),0)</f>
        <v>0</v>
      </c>
      <c r="F22" s="184">
        <f>IF(AND('TAS Oct 2021'!Q2&gt;0,'TAS Oct 2021'!S2&gt;0),IF($C$17*$C$18&lt;('TAS Oct 2021'!R2+'TAS Oct 2021'!P2),0,IF($C$17*$C$18&lt;=('TAS Oct 2021'!T2+'TAS Oct 2021'!R2+'TAS Oct 2021'!P2),(($C$17*$C$18-('TAS Oct 2021'!R2+'TAS Oct 2021'!P2))*'TAS Oct 2021'!S2/100),('TAS Oct 2021'!T2*'TAS Oct 2021'!S2/100))),0)</f>
        <v>0</v>
      </c>
      <c r="G22" s="184">
        <f>IF(AND('TAS Oct 2021'!R8&gt;0,'TAS Oct 2021'!T8&gt;0),IF(($C$17*$C$18&lt;'TAS Oct 2021'!T8),(0),($C$17*$C$18-'TAS Oct 2021'!T8)*'TAS Oct 2021'!U8/100),IF(AND('TAS Oct 2021'!R8&gt;0,'TAS Oct 2021'!T8=""),IF(($C$17*$C$18&lt;'TAS Oct 2021'!R8+'TAS Oct 2021'!P8),(0),(($C$17*$C$18-('TAS Oct 2021'!R8+'TAS Oct 2021'!P8))*'TAS Oct 2021'!S8/100)),IF(AND('TAS Oct 2021'!P8&gt;0,'TAS Oct 2021'!R8=""&gt;0),IF(($C$17*$C$18&lt;'TAS Oct 2021'!P8),(0),($C$17*$C$18-'TAS Oct 2021'!P8)*'TAS Oct 2021'!Q8/100),0)))</f>
        <v>611.72727272727275</v>
      </c>
      <c r="H22" s="186">
        <f>($C$17*$C$19)*'TAS Oct 2021'!AF8/100</f>
        <v>176.04545454545456</v>
      </c>
      <c r="I22" s="187">
        <f>SUM(C22:H22)</f>
        <v>1018.4357272727273</v>
      </c>
      <c r="J22" s="187">
        <f>(I22-C22)*4</f>
        <v>3702.3636363636365</v>
      </c>
      <c r="K22" s="187">
        <f>I22*4</f>
        <v>4073.7429090909091</v>
      </c>
      <c r="L22" s="188">
        <f>K22*1.1</f>
        <v>4481.1172000000006</v>
      </c>
      <c r="M22" s="189">
        <f>'TAS Oct 2021'!BC8</f>
        <v>0</v>
      </c>
      <c r="N22" s="189">
        <f>'TAS Oct 2021'!BD8</f>
        <v>0</v>
      </c>
      <c r="O22" s="189">
        <f>'TAS Oct 2021'!BE8</f>
        <v>0</v>
      </c>
      <c r="P22" s="189">
        <f>'TAS Oct 2021'!BF8</f>
        <v>0</v>
      </c>
      <c r="Q22" s="189" t="str">
        <f>IF(SUM(M22:P22)=0,"No discount",IF(M22&gt;0,"Guaranteed off bill",IF(N22&gt;0,"Guaranteed off usage",IF(O22&gt;0,"Pay-on-time off bill","Pay-on-time off usage"))))</f>
        <v>No discount</v>
      </c>
      <c r="R22" s="189" t="str">
        <f t="shared" ref="R22:R24" si="12">IF(OR(A22="Origin Energy",A22="Red Energy",A22="Powershop"),"Inclusive","Exclusive")</f>
        <v>Exclusive</v>
      </c>
      <c r="S22" s="220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4073.7429090909091</v>
      </c>
      <c r="T22" s="220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4073.7429090909091</v>
      </c>
      <c r="U22" s="188">
        <f t="shared" ref="U22:U24" si="13">IF(R22="Exclusive",S22*1.1,S22)</f>
        <v>4481.1172000000006</v>
      </c>
      <c r="V22" s="188">
        <f t="shared" ref="V22:V24" si="14">IF(R22="Exclusive",T22*1.1,T22)</f>
        <v>4481.1172000000006</v>
      </c>
      <c r="W22" s="151">
        <f>'TAS Oct 2021'!BR8</f>
        <v>0</v>
      </c>
      <c r="X22" s="295">
        <f>'TAS Oct 2021'!BO8</f>
        <v>0</v>
      </c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</row>
    <row r="23" spans="1:44" ht="14" x14ac:dyDescent="0.15">
      <c r="A23" s="150" t="str">
        <f>'TAS Oct 2021'!K9</f>
        <v>1st Energy</v>
      </c>
      <c r="B23" s="159" t="str">
        <f>'TAS Oct 2021'!L9</f>
        <v>1st Saver</v>
      </c>
      <c r="C23" s="124">
        <f>IF('TAS Oct 2021'!BQ9=0,91*'TAS Oct 2021'!M9/100,(91*'TAS Oct 2021'!M9/100)+'TAS Oct 2021'!BQ9/4)</f>
        <v>92.340181818181804</v>
      </c>
      <c r="D23" s="124">
        <f>IF('TAS Oct 2021'!O9="",$C$17*$C$18*'TAS Oct 2021'!N9/100,IF($C$17*$C$18&gt;='TAS Oct 2021'!P9,('TAS Oct 2021'!P9*'TAS Oct 2021'!N9/100),($C$17*$C$18*'TAS Oct 2021'!N9/100)))</f>
        <v>137.81818181818181</v>
      </c>
      <c r="E23" s="124">
        <f>IF(AND('TAS Oct 2021'!P9&gt;0,'TAS Oct 2021'!R9&gt;0),IF($C$17*$C$18&lt;'TAS Oct 2021'!P9,0,IF($C$17*$C$18&lt;=('TAS Oct 2021'!R9+'TAS Oct 2021'!P9),(($C$17*$C$18-'TAS Oct 2021'!P9)*'TAS Oct 2021'!Q9/100),(('TAS Oct 2021'!R9)*'TAS Oct 2021'!Q9/100))),0)</f>
        <v>0</v>
      </c>
      <c r="F23" s="124">
        <f>IF(AND('TAS Oct 2021'!Q3&gt;0,'TAS Oct 2021'!S3&gt;0),IF($C$17*$C$18&lt;('TAS Oct 2021'!R3+'TAS Oct 2021'!P3),0,IF($C$17*$C$18&lt;=('TAS Oct 2021'!T3+'TAS Oct 2021'!R3+'TAS Oct 2021'!P3),(($C$17*$C$18-('TAS Oct 2021'!R3+'TAS Oct 2021'!P3))*'TAS Oct 2021'!S3/100),('TAS Oct 2021'!T3*'TAS Oct 2021'!S3/100))),0)</f>
        <v>0</v>
      </c>
      <c r="G23" s="124">
        <f>IF(AND('TAS Oct 2021'!R9&gt;0,'TAS Oct 2021'!T9&gt;0),IF(($C$17*$C$18&lt;'TAS Oct 2021'!T9),(0),($C$17*$C$18-'TAS Oct 2021'!T9)*'TAS Oct 2021'!U9/100),IF(AND('TAS Oct 2021'!R9&gt;0,'TAS Oct 2021'!T9=""),IF(($C$17*$C$18&lt;'TAS Oct 2021'!R9+'TAS Oct 2021'!P9),(0),(($C$17*$C$18-('TAS Oct 2021'!R9+'TAS Oct 2021'!P9))*'TAS Oct 2021'!S9/100)),IF(AND('TAS Oct 2021'!P9&gt;0,'TAS Oct 2021'!R9=""&gt;0),IF(($C$17*$C$18&lt;'TAS Oct 2021'!P9),(0),($C$17*$C$18-'TAS Oct 2021'!P9)*'TAS Oct 2021'!Q9/100),0)))</f>
        <v>611.4545454545455</v>
      </c>
      <c r="H23" s="127">
        <f>($C$17*$C$19)*'TAS Oct 2021'!AF9/100</f>
        <v>175.90909090909088</v>
      </c>
      <c r="I23" s="128">
        <f>SUM(C23:H23)</f>
        <v>1017.522</v>
      </c>
      <c r="J23" s="128">
        <f>(I23-C23)*4</f>
        <v>3700.727272727273</v>
      </c>
      <c r="K23" s="128">
        <f>I23*4</f>
        <v>4070.0880000000002</v>
      </c>
      <c r="L23" s="129">
        <f>K23*1.1</f>
        <v>4477.0968000000003</v>
      </c>
      <c r="M23" s="123">
        <f>'TAS Oct 2021'!BC9</f>
        <v>0</v>
      </c>
      <c r="N23" s="123">
        <f>'TAS Oct 2021'!BD9</f>
        <v>0</v>
      </c>
      <c r="O23" s="123">
        <f>'TAS Oct 2021'!BE9</f>
        <v>0</v>
      </c>
      <c r="P23" s="123">
        <f>'TAS Oct 2021'!BF9</f>
        <v>5</v>
      </c>
      <c r="Q23" s="123" t="str">
        <f>IF(SUM(M23:P23)=0,"No discount",IF(M23&gt;0,"Guaranteed off bill",IF(N23&gt;0,"Guaranteed off usage",IF(O23&gt;0,"Pay-on-time off bill","Pay-on-time off usage"))))</f>
        <v>Pay-on-time off usage</v>
      </c>
      <c r="R23" s="123" t="str">
        <f t="shared" si="12"/>
        <v>Exclusive</v>
      </c>
      <c r="S23" s="272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4070.0880000000002</v>
      </c>
      <c r="T23" s="273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3885.0516363636366</v>
      </c>
      <c r="U23" s="129">
        <f t="shared" si="13"/>
        <v>4477.0968000000003</v>
      </c>
      <c r="V23" s="129">
        <f t="shared" si="14"/>
        <v>4273.5568000000003</v>
      </c>
      <c r="W23" s="151">
        <f>'TAS Oct 2021'!BR9</f>
        <v>0</v>
      </c>
      <c r="X23" s="295">
        <f>'TAS Oct 2021'!BO9</f>
        <v>12</v>
      </c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</row>
    <row r="24" spans="1:44" ht="15" thickBot="1" x14ac:dyDescent="0.2">
      <c r="A24" s="153" t="str">
        <f>'TAS Oct 2021'!K10</f>
        <v>Future X Power</v>
      </c>
      <c r="B24" s="160" t="str">
        <f>'TAS Oct 2021'!L10</f>
        <v>Flexi Saver</v>
      </c>
      <c r="C24" s="133">
        <f>IF('TAS Oct 2021'!BQ10=0,91*'TAS Oct 2021'!M10/100,(91*'TAS Oct 2021'!M10/100)+'TAS Oct 2021'!BQ10/4)</f>
        <v>84.629999999999981</v>
      </c>
      <c r="D24" s="133">
        <f>IF('TAS Oct 2021'!O10="",$C$17*$C$18*'TAS Oct 2021'!N10/100,IF($C$17*$C$18&gt;='TAS Oct 2021'!P10,('TAS Oct 2021'!P10*'TAS Oct 2021'!N10/100),($C$17*$C$18*'TAS Oct 2021'!N10/100)))</f>
        <v>142.72727272727269</v>
      </c>
      <c r="E24" s="133">
        <f>IF(AND('TAS Oct 2021'!P10&gt;0,'TAS Oct 2021'!R10&gt;0),IF($C$17*$C$18&lt;'TAS Oct 2021'!P10,0,IF($C$17*$C$18&lt;=('TAS Oct 2021'!R10+'TAS Oct 2021'!P10),(($C$17*$C$18-'TAS Oct 2021'!P10)*'TAS Oct 2021'!Q10/100),(('TAS Oct 2021'!R10)*'TAS Oct 2021'!Q10/100))),0)</f>
        <v>0</v>
      </c>
      <c r="F24" s="133">
        <f>IF(AND('TAS Oct 2021'!Q4&gt;0,'TAS Oct 2021'!S4&gt;0),IF($C$17*$C$18&lt;('TAS Oct 2021'!R4+'TAS Oct 2021'!P4),0,IF($C$17*$C$18&lt;=('TAS Oct 2021'!T4+'TAS Oct 2021'!R4+'TAS Oct 2021'!P4),(($C$17*$C$18-('TAS Oct 2021'!R4+'TAS Oct 2021'!P4))*'TAS Oct 2021'!S4/100),('TAS Oct 2021'!T4*'TAS Oct 2021'!S4/100))),0)</f>
        <v>0</v>
      </c>
      <c r="G24" s="133">
        <f>IF(AND('TAS Oct 2021'!R10&gt;0,'TAS Oct 2021'!T10&gt;0),IF(($C$17*$C$18&lt;'TAS Oct 2021'!T10),(0),($C$17*$C$18-'TAS Oct 2021'!T10)*'TAS Oct 2021'!U10/100),IF(AND('TAS Oct 2021'!R10&gt;0,'TAS Oct 2021'!T10=""),IF(($C$17*$C$18&lt;'TAS Oct 2021'!R10+'TAS Oct 2021'!P10),(0),(($C$17*$C$18-('TAS Oct 2021'!R10+'TAS Oct 2021'!P10))*'TAS Oct 2021'!S10/100)),IF(AND('TAS Oct 2021'!P10&gt;0,'TAS Oct 2021'!R10=""&gt;0),IF(($C$17*$C$18&lt;'TAS Oct 2021'!P10),(0),($C$17*$C$18-'TAS Oct 2021'!P10)*'TAS Oct 2021'!Q10/100),0)))</f>
        <v>632.72727272727275</v>
      </c>
      <c r="H24" s="136">
        <f>($C$17*$C$19)*'TAS Oct 2021'!AF10/100</f>
        <v>203.18181818181816</v>
      </c>
      <c r="I24" s="137">
        <f>SUM(C24:H24)</f>
        <v>1063.2663636363636</v>
      </c>
      <c r="J24" s="137">
        <f>(I24-C24)*4</f>
        <v>3914.5454545454545</v>
      </c>
      <c r="K24" s="137">
        <f>I24*4</f>
        <v>4253.0654545454545</v>
      </c>
      <c r="L24" s="138">
        <f>K24*1.1</f>
        <v>4678.3720000000003</v>
      </c>
      <c r="M24" s="132">
        <f>'TAS Oct 2021'!BC10</f>
        <v>0</v>
      </c>
      <c r="N24" s="132">
        <f>'TAS Oct 2021'!BD10</f>
        <v>0</v>
      </c>
      <c r="O24" s="132">
        <f>'TAS Oct 2021'!BE10</f>
        <v>3</v>
      </c>
      <c r="P24" s="132">
        <f>'TAS Oct 2021'!BF10</f>
        <v>0</v>
      </c>
      <c r="Q24" s="132" t="str">
        <f>IF(SUM(M24:P24)=0,"No discount",IF(M24&gt;0,"Guaranteed off bill",IF(N24&gt;0,"Guaranteed off usage",IF(O24&gt;0,"Pay-on-time off bill","Pay-on-time off usage"))))</f>
        <v>Pay-on-time off bill</v>
      </c>
      <c r="R24" s="132" t="str">
        <f t="shared" si="12"/>
        <v>Exclusive</v>
      </c>
      <c r="S24" s="221">
        <f>IF(AND(Q24="Guaranteed off bill",R24="Inclusive"),((K24*1.1)-((K24*1.1)*M24/100))/1.1,IF(AND(Q24="Guaranteed off usage",R24="Inclusive"),((K24*1.1)-((J24*1.1)*N24/100))/1.1,IF(AND(Q24="Guaranteed off bill",R24="Exclusive"),K24-(K24*M24/100),IF(AND(Q24="Guaranteed off usage",R24="Exclusive"),K24-(J24*N24/100),IF(R24="Inclusive",((K24*1.1))/1.1,K24)))))</f>
        <v>4253.0654545454545</v>
      </c>
      <c r="T24" s="222">
        <f>IF(AND(Q24="Pay-on-time off bill",R24="Inclusive"),((S24*1.1)-((S24*1.1)*O24/100))/1.1,IF(AND(Q24="Pay-on-time off usage",R24="Inclusive"),((S24*1.1)-((J24*1.1)*P24/100))/1.1,IF(AND(Q24="Pay-on-time off bill",R24="Exclusive"),S24-(S24*O24/100),IF(AND(Q24="Pay-on-time off usage",R24="Exclusive"),S24-(J24*P24/100),IF(R24="Inclusive",((S24*1.1))/1.1,S24)))))</f>
        <v>4125.4734909090912</v>
      </c>
      <c r="U24" s="138">
        <f t="shared" si="13"/>
        <v>4678.3720000000003</v>
      </c>
      <c r="V24" s="138">
        <f t="shared" si="14"/>
        <v>4538.020840000001</v>
      </c>
      <c r="W24" s="154">
        <f>'TAS Oct 2021'!BR10</f>
        <v>0</v>
      </c>
      <c r="X24" s="297">
        <f>'TAS Oct 2021'!BO10</f>
        <v>0</v>
      </c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</row>
    <row r="25" spans="1:44" ht="14" x14ac:dyDescent="0.15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</row>
    <row r="26" spans="1:44" ht="15" thickBot="1" x14ac:dyDescent="0.2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8"/>
      <c r="T26" s="286"/>
      <c r="U26" s="288"/>
      <c r="V26" s="288"/>
      <c r="W26" s="288"/>
      <c r="X26" s="286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</row>
    <row r="27" spans="1:44" ht="14" x14ac:dyDescent="0.15">
      <c r="A27" s="62" t="s">
        <v>33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5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</row>
    <row r="28" spans="1:44" ht="14" x14ac:dyDescent="0.15">
      <c r="A28" s="66" t="s">
        <v>22</v>
      </c>
      <c r="B28" s="64"/>
      <c r="C28" s="85">
        <v>5000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7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</row>
    <row r="29" spans="1:44" ht="14" x14ac:dyDescent="0.15">
      <c r="A29" s="66" t="s">
        <v>23</v>
      </c>
      <c r="B29" s="64"/>
      <c r="C29" s="86">
        <v>0.3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7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</row>
    <row r="30" spans="1:44" ht="14" x14ac:dyDescent="0.15">
      <c r="A30" s="66" t="s">
        <v>24</v>
      </c>
      <c r="B30" s="64"/>
      <c r="C30" s="86">
        <v>0.4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7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</row>
    <row r="31" spans="1:44" ht="14" x14ac:dyDescent="0.15">
      <c r="A31" s="66" t="s">
        <v>21</v>
      </c>
      <c r="B31" s="64"/>
      <c r="C31" s="86">
        <v>0.3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7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</row>
    <row r="32" spans="1:44" ht="14" x14ac:dyDescent="0.15">
      <c r="A32" s="66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7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</row>
    <row r="33" spans="1:44" ht="75" x14ac:dyDescent="0.15">
      <c r="A33" s="251" t="s">
        <v>35</v>
      </c>
      <c r="B33" s="147" t="s">
        <v>36</v>
      </c>
      <c r="C33" s="141" t="s">
        <v>27</v>
      </c>
      <c r="D33" s="141" t="s">
        <v>153</v>
      </c>
      <c r="E33" s="141" t="s">
        <v>83</v>
      </c>
      <c r="F33" s="141" t="s">
        <v>154</v>
      </c>
      <c r="G33" s="141" t="s">
        <v>155</v>
      </c>
      <c r="H33" s="141" t="s">
        <v>156</v>
      </c>
      <c r="I33" s="141" t="s">
        <v>87</v>
      </c>
      <c r="J33" s="252" t="s">
        <v>243</v>
      </c>
      <c r="K33" s="253" t="s">
        <v>157</v>
      </c>
      <c r="L33" s="142" t="s">
        <v>246</v>
      </c>
      <c r="M33" s="143" t="s">
        <v>94</v>
      </c>
      <c r="N33" s="143" t="s">
        <v>123</v>
      </c>
      <c r="O33" s="143" t="s">
        <v>124</v>
      </c>
      <c r="P33" s="143" t="s">
        <v>125</v>
      </c>
      <c r="Q33" s="254" t="s">
        <v>244</v>
      </c>
      <c r="R33" s="254" t="s">
        <v>245</v>
      </c>
      <c r="S33" s="255" t="s">
        <v>66</v>
      </c>
      <c r="T33" s="255" t="s">
        <v>67</v>
      </c>
      <c r="U33" s="144" t="s">
        <v>25</v>
      </c>
      <c r="V33" s="144" t="s">
        <v>26</v>
      </c>
      <c r="W33" s="143" t="s">
        <v>55</v>
      </c>
      <c r="X33" s="145" t="s">
        <v>160</v>
      </c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</row>
    <row r="34" spans="1:44" ht="14" x14ac:dyDescent="0.15">
      <c r="A34" s="182" t="str">
        <f>'TAS Oct 2021'!K11</f>
        <v>Aurora Energy</v>
      </c>
      <c r="B34" s="183" t="str">
        <f>'TAS Oct 2021'!L11</f>
        <v>Regulated</v>
      </c>
      <c r="C34" s="184">
        <f>IF('TAS Oct 2021'!BQ11=0,91*'TAS Oct 2021'!M11/100,(91*'TAS Oct 2021'!M11/100)+'TAS Oct 2021'!BQ11/4)</f>
        <v>81.767636363636356</v>
      </c>
      <c r="D34" s="184">
        <f>IF('TAS Oct 2021'!O11="",$C$28*$C$29*'TAS Oct 2021'!N11/100,IF($C$28*$C$29&gt;='TAS Oct 2021'!P11,('TAS Oct 2021'!P11*'TAS Oct 2021'!N11/100),($C$28*$C$29*'TAS Oct 2021'!N11/100)))</f>
        <v>340.22727272727275</v>
      </c>
      <c r="E34" s="184">
        <f>IF(AND('TAS Oct 2021'!P11&gt;0,'TAS Oct 2021'!R11&gt;0),IF($C$28*$C$29&lt;'TAS Oct 2021'!P11,0,IF($C$28*$C$29&lt;=('TAS Oct 2021'!R11+'TAS Oct 2021'!P11),(($C$28*$C$29-'TAS Oct 2021'!P11)*'TAS Oct 2021'!Q11/100),(('TAS Oct 2021'!R11)*'TAS Oct 2021'!Q11/100))),0)</f>
        <v>0</v>
      </c>
      <c r="F34" s="184">
        <f>IF(AND('TAS Oct 2021'!R11&gt;0,'TAS Oct 2021'!T11&gt;0),IF(($C$28*$C$29&lt;'TAS Oct 2021'!T11),(0),($C$28*$C$249-'TAS Oct 2021'!T11)*'TAS Oct 2021'!U11/100),IF(AND('TAS Oct 2021'!R11&gt;0,'TAS Oct 2021'!T11=""),IF(($C$28*$C$29&lt;'TAS Oct 2021'!R11+'TAS Oct 2021'!P11),(0),(($C$28*$C$29-('TAS Oct 2021'!R11+'TAS Oct 2021'!P11))*'TAS Oct 2021'!S11/100)),IF(AND('TAS Oct 2021'!P11&gt;0,'TAS Oct 2021'!R11=""&gt;0),IF(($C$28*$C$29&lt;'TAS Oct 2021'!P11),(0),($C$28*$C$29-'TAS Oct 2021'!P11)*'TAS Oct 2021'!Q11/100),0)))</f>
        <v>0</v>
      </c>
      <c r="G34" s="185">
        <f>($C$28*$C$30)*'TAS Oct 2021'!AI11/100</f>
        <v>327.81818181818181</v>
      </c>
      <c r="H34" s="186">
        <f>($C$28*$C$31)*'TAS Oct 2021'!W11/100</f>
        <v>143.86363636363635</v>
      </c>
      <c r="I34" s="187">
        <f>SUM(C34:H34)</f>
        <v>893.67672727272736</v>
      </c>
      <c r="J34" s="187">
        <f>(I34-C34)*4</f>
        <v>3247.636363636364</v>
      </c>
      <c r="K34" s="187">
        <f>I34*4</f>
        <v>3574.7069090909094</v>
      </c>
      <c r="L34" s="188">
        <f>K34*1.1</f>
        <v>3932.1776000000009</v>
      </c>
      <c r="M34" s="189">
        <f>'TAS Oct 2021'!BC11</f>
        <v>0</v>
      </c>
      <c r="N34" s="189">
        <f>'TAS Oct 2021'!BD11</f>
        <v>0</v>
      </c>
      <c r="O34" s="189">
        <f>'TAS Oct 2021'!BE11</f>
        <v>0</v>
      </c>
      <c r="P34" s="189">
        <f>'TAS Oct 2021'!BF11</f>
        <v>0</v>
      </c>
      <c r="Q34" s="189" t="str">
        <f>IF(SUM(M34:P34)=0,"No discount",IF(M34&gt;0,"Guaranteed off bill",IF(N34&gt;0,"Guaranteed off usage",IF(O34&gt;0,"Pay-on-time off bill","Pay-on-time off usage"))))</f>
        <v>No discount</v>
      </c>
      <c r="R34" s="189" t="str">
        <f t="shared" ref="R34:R35" si="15">IF(OR(A34="Origin Energy",A34="Red Energy",A34="Powershop"),"Inclusive","Exclusive")</f>
        <v>Exclusive</v>
      </c>
      <c r="S34" s="223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3574.7069090909094</v>
      </c>
      <c r="T34" s="224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3574.7069090909094</v>
      </c>
      <c r="U34" s="188">
        <f t="shared" ref="U34:U35" si="16">IF(R34="Exclusive",S34*1.1,S34)</f>
        <v>3932.1776000000009</v>
      </c>
      <c r="V34" s="188">
        <f t="shared" ref="V34:V35" si="17">IF(R34="Exclusive",T34*1.1,T34)</f>
        <v>3932.1776000000009</v>
      </c>
      <c r="W34" s="190">
        <f>'TAS Oct 2021'!BR11</f>
        <v>0</v>
      </c>
      <c r="X34" s="295">
        <f>'TAS Oct 2021'!BO11</f>
        <v>0</v>
      </c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</row>
    <row r="35" spans="1:44" ht="14" x14ac:dyDescent="0.15">
      <c r="A35" s="150" t="str">
        <f>'TAS Oct 2021'!K12</f>
        <v>1st Energy</v>
      </c>
      <c r="B35" s="159" t="str">
        <f>'TAS Oct 2021'!L12</f>
        <v>1st Saver</v>
      </c>
      <c r="C35" s="124">
        <f>IF('TAS Oct 2021'!BQ12=0,91*'TAS Oct 2021'!M12/100,(91*'TAS Oct 2021'!M12/100)+'TAS Oct 2021'!BQ12/4)</f>
        <v>81.767636363636356</v>
      </c>
      <c r="D35" s="124">
        <f>IF('TAS Oct 2021'!O12="",$C$28*$C$29*'TAS Oct 2021'!N12/100,IF($C$28*$C$29&gt;='TAS Oct 2021'!P12,('TAS Oct 2021'!P12*'TAS Oct 2021'!N12/100),($C$28*$C$29*'TAS Oct 2021'!N12/100)))</f>
        <v>340.09090909090907</v>
      </c>
      <c r="E35" s="124">
        <f>IF(AND('TAS Oct 2021'!P12&gt;0,'TAS Oct 2021'!R12&gt;0),IF($C$28*$C$29&lt;'TAS Oct 2021'!P12,0,IF($C$28*$C$29&lt;=('TAS Oct 2021'!R12+'TAS Oct 2021'!P12),(($C$28*$C$29-'TAS Oct 2021'!P12)*'TAS Oct 2021'!Q12/100),(('TAS Oct 2021'!R12)*'TAS Oct 2021'!Q12/100))),0)</f>
        <v>0</v>
      </c>
      <c r="F35" s="124">
        <f>IF(AND('TAS Oct 2021'!R12&gt;0,'TAS Oct 2021'!T12&gt;0),IF(($C$28*$C$29&lt;'TAS Oct 2021'!T12),(0),($C$28*$C$249-'TAS Oct 2021'!T12)*'TAS Oct 2021'!U12/100),IF(AND('TAS Oct 2021'!R12&gt;0,'TAS Oct 2021'!T12=""),IF(($C$28*$C$29&lt;'TAS Oct 2021'!R12+'TAS Oct 2021'!P12),(0),(($C$28*$C$29-('TAS Oct 2021'!R12+'TAS Oct 2021'!P12))*'TAS Oct 2021'!S12/100)),IF(AND('TAS Oct 2021'!P12&gt;0,'TAS Oct 2021'!R12=""&gt;0),IF(($C$28*$C$29&lt;'TAS Oct 2021'!P12),(0),($C$28*$C$29-'TAS Oct 2021'!P12)*'TAS Oct 2021'!Q12/100),0)))</f>
        <v>0</v>
      </c>
      <c r="G35" s="126">
        <f>($C$28*$C$30)*'TAS Oct 2021'!AI12/100</f>
        <v>327.81818181818181</v>
      </c>
      <c r="H35" s="127">
        <f>($C$28*$C$31)*'TAS Oct 2021'!W12/100</f>
        <v>143.72727272727269</v>
      </c>
      <c r="I35" s="128">
        <f>SUM(C35:H35)</f>
        <v>893.404</v>
      </c>
      <c r="J35" s="128">
        <f>(I35-C35)*4</f>
        <v>3246.5454545454545</v>
      </c>
      <c r="K35" s="128">
        <f>I35*4</f>
        <v>3573.616</v>
      </c>
      <c r="L35" s="129">
        <f>K35*1.1</f>
        <v>3930.9776000000002</v>
      </c>
      <c r="M35" s="123">
        <f>'TAS Oct 2021'!BC12</f>
        <v>0</v>
      </c>
      <c r="N35" s="123">
        <f>'TAS Oct 2021'!BD12</f>
        <v>0</v>
      </c>
      <c r="O35" s="123">
        <f>'TAS Oct 2021'!BE12</f>
        <v>0</v>
      </c>
      <c r="P35" s="123">
        <f>'TAS Oct 2021'!BF12</f>
        <v>5</v>
      </c>
      <c r="Q35" s="123" t="str">
        <f>IF(SUM(M35:P35)=0,"No discount",IF(M35&gt;0,"Guaranteed off bill",IF(N35&gt;0,"Guaranteed off usage",IF(O35&gt;0,"Pay-on-time off bill","Pay-on-time off usage"))))</f>
        <v>Pay-on-time off usage</v>
      </c>
      <c r="R35" s="123" t="str">
        <f t="shared" si="15"/>
        <v>Exclusive</v>
      </c>
      <c r="S35" s="272">
        <f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3573.616</v>
      </c>
      <c r="T35" s="273">
        <f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3411.2887272727271</v>
      </c>
      <c r="U35" s="129">
        <f t="shared" si="16"/>
        <v>3930.9776000000002</v>
      </c>
      <c r="V35" s="129">
        <f t="shared" si="17"/>
        <v>3752.4176000000002</v>
      </c>
      <c r="W35" s="151">
        <f>'TAS Oct 2021'!BR12</f>
        <v>0</v>
      </c>
      <c r="X35" s="295">
        <f>'TAS Oct 2021'!BO12</f>
        <v>12</v>
      </c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</row>
    <row r="36" spans="1:44" ht="14" x14ac:dyDescent="0.15">
      <c r="A36" s="150" t="str">
        <f>'TAS Oct 2021'!K13</f>
        <v>Covau</v>
      </c>
      <c r="B36" s="159" t="str">
        <f>'TAS Oct 2021'!L13</f>
        <v>Freedom</v>
      </c>
      <c r="C36" s="124">
        <f>IF('TAS Oct 2021'!BQ13=0,91*'TAS Oct 2021'!M13/100,(91*'TAS Oct 2021'!M13/100)+'TAS Oct 2021'!BQ13/4)</f>
        <v>81.767636363636356</v>
      </c>
      <c r="D36" s="124">
        <f>IF('TAS Oct 2021'!O13="",$C$28*$C$29*'TAS Oct 2021'!N13/100,IF($C$28*$C$29&gt;='TAS Oct 2021'!P13,('TAS Oct 2021'!P13*'TAS Oct 2021'!N13/100),($C$28*$C$29*'TAS Oct 2021'!N13/100)))</f>
        <v>340.22727272727275</v>
      </c>
      <c r="E36" s="124">
        <f>IF(AND('TAS Oct 2021'!P13&gt;0,'TAS Oct 2021'!R13&gt;0),IF($C$28*$C$29&lt;'TAS Oct 2021'!P13,0,IF($C$28*$C$29&lt;=('TAS Oct 2021'!R13+'TAS Oct 2021'!P13),(($C$28*$C$29-'TAS Oct 2021'!P13)*'TAS Oct 2021'!Q13/100),(('TAS Oct 2021'!R13)*'TAS Oct 2021'!Q13/100))),0)</f>
        <v>0</v>
      </c>
      <c r="F36" s="124">
        <f>IF(AND('TAS Oct 2021'!R13&gt;0,'TAS Oct 2021'!T13&gt;0),IF(($C$28*$C$29&lt;'TAS Oct 2021'!T13),(0),($C$28*$C$249-'TAS Oct 2021'!T13)*'TAS Oct 2021'!U13/100),IF(AND('TAS Oct 2021'!R13&gt;0,'TAS Oct 2021'!T13=""),IF(($C$28*$C$29&lt;'TAS Oct 2021'!R13+'TAS Oct 2021'!P13),(0),(($C$28*$C$29-('TAS Oct 2021'!R13+'TAS Oct 2021'!P13))*'TAS Oct 2021'!S13/100)),IF(AND('TAS Oct 2021'!P13&gt;0,'TAS Oct 2021'!R13=""&gt;0),IF(($C$28*$C$29&lt;'TAS Oct 2021'!P13),(0),($C$28*$C$29-'TAS Oct 2021'!P13)*'TAS Oct 2021'!Q13/100),0)))</f>
        <v>0</v>
      </c>
      <c r="G36" s="126">
        <f>($C$28*$C$30)*'TAS Oct 2021'!AI13/100</f>
        <v>327.81818181818181</v>
      </c>
      <c r="H36" s="127">
        <f>($C$28*$C$31)*'TAS Oct 2021'!W13/100</f>
        <v>143.86363636363635</v>
      </c>
      <c r="I36" s="128">
        <f t="shared" ref="I36:I38" si="18">SUM(C36:H36)</f>
        <v>893.67672727272736</v>
      </c>
      <c r="J36" s="128">
        <f t="shared" ref="J36:J38" si="19">(I36-C36)*4</f>
        <v>3247.636363636364</v>
      </c>
      <c r="K36" s="128">
        <f t="shared" ref="K36:K38" si="20">I36*4</f>
        <v>3574.7069090909094</v>
      </c>
      <c r="L36" s="129">
        <f t="shared" ref="L36:L38" si="21">K36*1.1</f>
        <v>3932.1776000000009</v>
      </c>
      <c r="M36" s="123">
        <f>'TAS Oct 2021'!BC13</f>
        <v>0</v>
      </c>
      <c r="N36" s="123">
        <f>'TAS Oct 2021'!BD13</f>
        <v>0</v>
      </c>
      <c r="O36" s="123">
        <f>'TAS Oct 2021'!BE13</f>
        <v>5</v>
      </c>
      <c r="P36" s="123">
        <f>'TAS Oct 2021'!BF13</f>
        <v>0</v>
      </c>
      <c r="Q36" s="123" t="str">
        <f t="shared" ref="Q36:Q38" si="22">IF(SUM(M36:P36)=0,"No discount",IF(M36&gt;0,"Guaranteed off bill",IF(N36&gt;0,"Guaranteed off usage",IF(O36&gt;0,"Pay-on-time off bill","Pay-on-time off usage"))))</f>
        <v>Pay-on-time off bill</v>
      </c>
      <c r="R36" s="123" t="str">
        <f t="shared" ref="R36:R38" si="23">IF(OR(A36="Origin Energy",A36="Red Energy",A36="Powershop"),"Inclusive","Exclusive")</f>
        <v>Exclusive</v>
      </c>
      <c r="S36" s="272">
        <f t="shared" ref="S36:S38" si="24">IF(AND(Q36="Guaranteed off bill",R36="Inclusive"),((K36*1.1)-((K36*1.1)*M36/100))/1.1,IF(AND(Q36="Guaranteed off usage",R36="Inclusive"),((K36*1.1)-((J36*1.1)*N36/100))/1.1,IF(AND(Q36="Guaranteed off bill",R36="Exclusive"),K36-(K36*M36/100),IF(AND(Q36="Guaranteed off usage",R36="Exclusive"),K36-(J36*N36/100),IF(R36="Inclusive",((K36*1.1))/1.1,K36)))))</f>
        <v>3574.7069090909094</v>
      </c>
      <c r="T36" s="273">
        <f t="shared" ref="T36:T38" si="25">IF(AND(Q36="Pay-on-time off bill",R36="Inclusive"),((S36*1.1)-((S36*1.1)*O36/100))/1.1,IF(AND(Q36="Pay-on-time off usage",R36="Inclusive"),((S36*1.1)-((J36*1.1)*P36/100))/1.1,IF(AND(Q36="Pay-on-time off bill",R36="Exclusive"),S36-(S36*O36/100),IF(AND(Q36="Pay-on-time off usage",R36="Exclusive"),S36-(J36*P36/100),IF(R36="Inclusive",((S36*1.1))/1.1,S36)))))</f>
        <v>3395.971563636364</v>
      </c>
      <c r="U36" s="129">
        <f t="shared" ref="U36:U38" si="26">IF(R36="Exclusive",S36*1.1,S36)</f>
        <v>3932.1776000000009</v>
      </c>
      <c r="V36" s="129">
        <f t="shared" ref="V36:V38" si="27">IF(R36="Exclusive",T36*1.1,T36)</f>
        <v>3735.5687200000007</v>
      </c>
      <c r="W36" s="151">
        <f>'TAS Oct 2021'!BR13</f>
        <v>0</v>
      </c>
      <c r="X36" s="295">
        <f>'TAS Oct 2021'!BO13</f>
        <v>0</v>
      </c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</row>
    <row r="37" spans="1:44" ht="14" x14ac:dyDescent="0.15">
      <c r="A37" s="150" t="str">
        <f>'TAS Oct 2021'!K14</f>
        <v>Energy Locals</v>
      </c>
      <c r="B37" s="159" t="str">
        <f>'TAS Oct 2021'!L14</f>
        <v>Business Member</v>
      </c>
      <c r="C37" s="124">
        <f>IF('TAS Oct 2021'!BQ14=0,91*'TAS Oct 2021'!M14/100,(91*'TAS Oct 2021'!M14/100)+'TAS Oct 2021'!BQ14/4)</f>
        <v>117.83181818181816</v>
      </c>
      <c r="D37" s="124">
        <f>IF('TAS Oct 2021'!O14="",$C$28*$C$29*'TAS Oct 2021'!N14/100,IF($C$28*$C$29&gt;='TAS Oct 2021'!P14,('TAS Oct 2021'!P14*'TAS Oct 2021'!N14/100),($C$28*$C$29*'TAS Oct 2021'!N14/100)))</f>
        <v>313.63636363636363</v>
      </c>
      <c r="E37" s="124">
        <f>IF(AND('TAS Oct 2021'!P14&gt;0,'TAS Oct 2021'!R14&gt;0),IF($C$28*$C$29&lt;'TAS Oct 2021'!P14,0,IF($C$28*$C$29&lt;=('TAS Oct 2021'!R14+'TAS Oct 2021'!P14),(($C$28*$C$29-'TAS Oct 2021'!P14)*'TAS Oct 2021'!Q14/100),(('TAS Oct 2021'!R14)*'TAS Oct 2021'!Q14/100))),0)</f>
        <v>0</v>
      </c>
      <c r="F37" s="124">
        <f>IF(AND('TAS Oct 2021'!R14&gt;0,'TAS Oct 2021'!T14&gt;0),IF(($C$28*$C$29&lt;'TAS Oct 2021'!T14),(0),($C$28*$C$249-'TAS Oct 2021'!T14)*'TAS Oct 2021'!U14/100),IF(AND('TAS Oct 2021'!R14&gt;0,'TAS Oct 2021'!T14=""),IF(($C$28*$C$29&lt;'TAS Oct 2021'!R14+'TAS Oct 2021'!P14),(0),(($C$28*$C$29-('TAS Oct 2021'!R14+'TAS Oct 2021'!P14))*'TAS Oct 2021'!S14/100)),IF(AND('TAS Oct 2021'!P14&gt;0,'TAS Oct 2021'!R14=""&gt;0),IF(($C$28*$C$29&lt;'TAS Oct 2021'!P14),(0),($C$28*$C$29-'TAS Oct 2021'!P14)*'TAS Oct 2021'!Q14/100),0)))</f>
        <v>0</v>
      </c>
      <c r="G37" s="126">
        <f>($C$28*$C$30)*'TAS Oct 2021'!AI14/100</f>
        <v>309.09090909090907</v>
      </c>
      <c r="H37" s="127">
        <f>($C$28*$C$31)*'TAS Oct 2021'!W14/100</f>
        <v>136.36363636363635</v>
      </c>
      <c r="I37" s="128">
        <f t="shared" si="18"/>
        <v>876.92272727272723</v>
      </c>
      <c r="J37" s="128">
        <f t="shared" si="19"/>
        <v>3036.363636363636</v>
      </c>
      <c r="K37" s="128">
        <f t="shared" si="20"/>
        <v>3507.6909090909089</v>
      </c>
      <c r="L37" s="129">
        <f t="shared" si="21"/>
        <v>3858.46</v>
      </c>
      <c r="M37" s="123">
        <f>'TAS Oct 2021'!BC14</f>
        <v>0</v>
      </c>
      <c r="N37" s="123">
        <f>'TAS Oct 2021'!BD14</f>
        <v>0</v>
      </c>
      <c r="O37" s="123">
        <f>'TAS Oct 2021'!BE14</f>
        <v>0</v>
      </c>
      <c r="P37" s="123">
        <f>'TAS Oct 2021'!BF14</f>
        <v>0</v>
      </c>
      <c r="Q37" s="123" t="str">
        <f t="shared" si="22"/>
        <v>No discount</v>
      </c>
      <c r="R37" s="123" t="str">
        <f t="shared" si="23"/>
        <v>Exclusive</v>
      </c>
      <c r="S37" s="272">
        <f t="shared" si="24"/>
        <v>3507.6909090909089</v>
      </c>
      <c r="T37" s="273">
        <f t="shared" si="25"/>
        <v>3507.6909090909089</v>
      </c>
      <c r="U37" s="129">
        <f t="shared" si="26"/>
        <v>3858.46</v>
      </c>
      <c r="V37" s="129">
        <f t="shared" si="27"/>
        <v>3858.46</v>
      </c>
      <c r="W37" s="151">
        <f>'TAS Oct 2021'!BR14</f>
        <v>0</v>
      </c>
      <c r="X37" s="295">
        <f>'TAS Oct 2021'!BO14</f>
        <v>0</v>
      </c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</row>
    <row r="38" spans="1:44" ht="15" thickBot="1" x14ac:dyDescent="0.2">
      <c r="A38" s="153" t="str">
        <f>'TAS Oct 2021'!K15</f>
        <v>Glow Power</v>
      </c>
      <c r="B38" s="160" t="str">
        <f>'TAS Oct 2021'!L15</f>
        <v>Market Offer</v>
      </c>
      <c r="C38" s="133">
        <f>IF('TAS Oct 2021'!BQ15=0,91*'TAS Oct 2021'!M15/100,(91*'TAS Oct 2021'!M15/100)+'TAS Oct 2021'!BQ15/4)</f>
        <v>81.775909090909067</v>
      </c>
      <c r="D38" s="133">
        <f>IF('TAS Oct 2021'!O15="",$C$28*$C$29*'TAS Oct 2021'!N15/100,IF($C$28*$C$29&gt;='TAS Oct 2021'!P15,('TAS Oct 2021'!P15*'TAS Oct 2021'!N15/100),($C$28*$C$29*'TAS Oct 2021'!N15/100)))</f>
        <v>323.0454545454545</v>
      </c>
      <c r="E38" s="133">
        <f>IF(AND('TAS Oct 2021'!P15&gt;0,'TAS Oct 2021'!R15&gt;0),IF($C$28*$C$29&lt;'TAS Oct 2021'!P15,0,IF($C$28*$C$29&lt;=('TAS Oct 2021'!R15+'TAS Oct 2021'!P15),(($C$28*$C$29-'TAS Oct 2021'!P15)*'TAS Oct 2021'!Q15/100),(('TAS Oct 2021'!R15)*'TAS Oct 2021'!Q15/100))),0)</f>
        <v>0</v>
      </c>
      <c r="F38" s="133">
        <f>IF(AND('TAS Oct 2021'!R15&gt;0,'TAS Oct 2021'!T15&gt;0),IF(($C$28*$C$29&lt;'TAS Oct 2021'!T15),(0),($C$28*$C$249-'TAS Oct 2021'!T15)*'TAS Oct 2021'!U15/100),IF(AND('TAS Oct 2021'!R15&gt;0,'TAS Oct 2021'!T15=""),IF(($C$28*$C$29&lt;'TAS Oct 2021'!R15+'TAS Oct 2021'!P15),(0),(($C$28*$C$29-('TAS Oct 2021'!R15+'TAS Oct 2021'!P15))*'TAS Oct 2021'!S15/100)),IF(AND('TAS Oct 2021'!P15&gt;0,'TAS Oct 2021'!R15=""&gt;0),IF(($C$28*$C$29&lt;'TAS Oct 2021'!P15),(0),($C$28*$C$29-'TAS Oct 2021'!P15)*'TAS Oct 2021'!Q15/100),0)))</f>
        <v>0</v>
      </c>
      <c r="G38" s="135">
        <f>($C$28*$C$30)*'TAS Oct 2021'!AI15/100</f>
        <v>381.81818181818176</v>
      </c>
      <c r="H38" s="136">
        <f>($C$28*$C$31)*'TAS Oct 2021'!W15/100</f>
        <v>150.13636363636363</v>
      </c>
      <c r="I38" s="137">
        <f t="shared" si="18"/>
        <v>936.77590909090895</v>
      </c>
      <c r="J38" s="137">
        <f t="shared" si="19"/>
        <v>3419.9999999999995</v>
      </c>
      <c r="K38" s="137">
        <f t="shared" si="20"/>
        <v>3747.1036363636358</v>
      </c>
      <c r="L38" s="138">
        <f t="shared" si="21"/>
        <v>4121.8139999999994</v>
      </c>
      <c r="M38" s="132">
        <f>'TAS Oct 2021'!BC15</f>
        <v>0</v>
      </c>
      <c r="N38" s="132">
        <f>'TAS Oct 2021'!BD15</f>
        <v>0</v>
      </c>
      <c r="O38" s="132">
        <f>'TAS Oct 2021'!BE15</f>
        <v>0</v>
      </c>
      <c r="P38" s="132">
        <f>'TAS Oct 2021'!BF15</f>
        <v>0</v>
      </c>
      <c r="Q38" s="132" t="str">
        <f t="shared" si="22"/>
        <v>No discount</v>
      </c>
      <c r="R38" s="132" t="str">
        <f t="shared" si="23"/>
        <v>Exclusive</v>
      </c>
      <c r="S38" s="221">
        <f t="shared" si="24"/>
        <v>3747.1036363636358</v>
      </c>
      <c r="T38" s="222">
        <f t="shared" si="25"/>
        <v>3747.1036363636358</v>
      </c>
      <c r="U38" s="138">
        <f t="shared" si="26"/>
        <v>4121.8139999999994</v>
      </c>
      <c r="V38" s="138">
        <f t="shared" si="27"/>
        <v>4121.8139999999994</v>
      </c>
      <c r="W38" s="154">
        <f>'TAS Oct 2021'!BR15</f>
        <v>0</v>
      </c>
      <c r="X38" s="297">
        <f>'TAS Oct 2021'!BO15</f>
        <v>0</v>
      </c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</row>
    <row r="39" spans="1:44" ht="14" x14ac:dyDescent="0.15">
      <c r="A39" s="286"/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90"/>
      <c r="T39" s="290"/>
      <c r="U39" s="290"/>
      <c r="V39" s="290"/>
      <c r="W39" s="290"/>
      <c r="X39" s="286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</row>
    <row r="40" spans="1:44" ht="14" x14ac:dyDescent="0.15">
      <c r="A40" s="286"/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90"/>
      <c r="T40" s="290"/>
      <c r="U40" s="290"/>
      <c r="V40" s="290"/>
      <c r="W40" s="290"/>
      <c r="X40" s="286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</row>
    <row r="41" spans="1:44" ht="14" x14ac:dyDescent="0.15">
      <c r="A41" s="286"/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90"/>
      <c r="T41" s="290"/>
      <c r="U41" s="290"/>
      <c r="V41" s="290"/>
      <c r="W41" s="290"/>
      <c r="X41" s="286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</row>
    <row r="42" spans="1:44" ht="14" x14ac:dyDescent="0.15">
      <c r="A42" s="286"/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90"/>
      <c r="T42" s="290"/>
      <c r="U42" s="290"/>
      <c r="V42" s="290"/>
      <c r="W42" s="290"/>
      <c r="X42" s="286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89"/>
      <c r="AR42" s="289"/>
    </row>
    <row r="43" spans="1:44" ht="14" x14ac:dyDescent="0.15">
      <c r="A43" s="286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90"/>
      <c r="T43" s="290"/>
      <c r="U43" s="290"/>
      <c r="V43" s="290"/>
      <c r="W43" s="290"/>
      <c r="X43" s="286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89"/>
    </row>
    <row r="44" spans="1:44" ht="14" x14ac:dyDescent="0.15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90"/>
      <c r="T44" s="290"/>
      <c r="U44" s="290"/>
      <c r="V44" s="290"/>
      <c r="W44" s="290"/>
      <c r="X44" s="286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89"/>
    </row>
    <row r="45" spans="1:44" ht="14" x14ac:dyDescent="0.15">
      <c r="A45" s="286"/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90"/>
      <c r="T45" s="290"/>
      <c r="U45" s="290"/>
      <c r="V45" s="290"/>
      <c r="W45" s="290"/>
      <c r="X45" s="286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89"/>
      <c r="AM45" s="289"/>
      <c r="AN45" s="289"/>
      <c r="AO45" s="289"/>
      <c r="AP45" s="289"/>
      <c r="AQ45" s="289"/>
      <c r="AR45" s="289"/>
    </row>
    <row r="46" spans="1:44" ht="14" x14ac:dyDescent="0.15">
      <c r="A46" s="286"/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90"/>
      <c r="T46" s="290"/>
      <c r="U46" s="290"/>
      <c r="V46" s="290"/>
      <c r="W46" s="290"/>
      <c r="X46" s="286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89"/>
      <c r="AO46" s="289"/>
      <c r="AP46" s="289"/>
      <c r="AQ46" s="289"/>
      <c r="AR46" s="289"/>
    </row>
    <row r="47" spans="1:44" ht="14" x14ac:dyDescent="0.15">
      <c r="A47" s="286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90"/>
      <c r="T47" s="290"/>
      <c r="U47" s="290"/>
      <c r="V47" s="290"/>
      <c r="W47" s="290"/>
      <c r="X47" s="286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89"/>
      <c r="AO47" s="289"/>
      <c r="AP47" s="289"/>
      <c r="AQ47" s="289"/>
      <c r="AR47" s="289"/>
    </row>
    <row r="48" spans="1:44" ht="14" x14ac:dyDescent="0.15">
      <c r="A48" s="286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90"/>
      <c r="T48" s="290"/>
      <c r="U48" s="290"/>
      <c r="V48" s="290"/>
      <c r="W48" s="290"/>
      <c r="X48" s="286"/>
      <c r="Y48" s="289"/>
      <c r="Z48" s="289"/>
      <c r="AA48" s="289"/>
      <c r="AB48" s="289"/>
      <c r="AC48" s="289"/>
      <c r="AD48" s="289"/>
      <c r="AE48" s="289"/>
      <c r="AF48" s="289"/>
      <c r="AG48" s="289"/>
      <c r="AH48" s="289"/>
      <c r="AI48" s="289"/>
      <c r="AJ48" s="289"/>
      <c r="AK48" s="289"/>
      <c r="AL48" s="289"/>
      <c r="AM48" s="289"/>
      <c r="AN48" s="289"/>
      <c r="AO48" s="289"/>
      <c r="AP48" s="289"/>
      <c r="AQ48" s="289"/>
      <c r="AR48" s="289"/>
    </row>
    <row r="49" spans="1:44" ht="14" x14ac:dyDescent="0.15">
      <c r="A49" s="286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90"/>
      <c r="T49" s="290"/>
      <c r="U49" s="290"/>
      <c r="V49" s="290"/>
      <c r="W49" s="290"/>
      <c r="X49" s="286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</row>
    <row r="50" spans="1:44" ht="14" x14ac:dyDescent="0.15">
      <c r="A50" s="286"/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90"/>
      <c r="T50" s="290"/>
      <c r="U50" s="290"/>
      <c r="V50" s="290"/>
      <c r="W50" s="290"/>
      <c r="X50" s="286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</row>
    <row r="51" spans="1:44" ht="14" x14ac:dyDescent="0.15">
      <c r="A51" s="286"/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90"/>
      <c r="T51" s="290"/>
      <c r="U51" s="290"/>
      <c r="V51" s="290"/>
      <c r="W51" s="290"/>
      <c r="X51" s="286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289"/>
      <c r="AM51" s="289"/>
      <c r="AN51" s="289"/>
      <c r="AO51" s="289"/>
      <c r="AP51" s="289"/>
      <c r="AQ51" s="289"/>
      <c r="AR51" s="289"/>
    </row>
    <row r="52" spans="1:44" ht="14" x14ac:dyDescent="0.15">
      <c r="A52" s="286"/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90"/>
      <c r="T52" s="290"/>
      <c r="U52" s="290"/>
      <c r="V52" s="290"/>
      <c r="W52" s="290"/>
      <c r="X52" s="286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89"/>
      <c r="AJ52" s="289"/>
      <c r="AK52" s="289"/>
      <c r="AL52" s="289"/>
      <c r="AM52" s="289"/>
      <c r="AN52" s="289"/>
      <c r="AO52" s="289"/>
      <c r="AP52" s="289"/>
      <c r="AQ52" s="289"/>
      <c r="AR52" s="289"/>
    </row>
    <row r="53" spans="1:44" ht="14" x14ac:dyDescent="0.15">
      <c r="A53" s="286"/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90"/>
      <c r="T53" s="290"/>
      <c r="U53" s="290"/>
      <c r="V53" s="290"/>
      <c r="W53" s="290"/>
      <c r="X53" s="286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</row>
    <row r="54" spans="1:44" ht="14" x14ac:dyDescent="0.15">
      <c r="A54" s="286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90"/>
      <c r="T54" s="290"/>
      <c r="U54" s="290"/>
      <c r="V54" s="290"/>
      <c r="W54" s="290"/>
      <c r="X54" s="286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89"/>
      <c r="AN54" s="289"/>
      <c r="AO54" s="289"/>
      <c r="AP54" s="289"/>
      <c r="AQ54" s="289"/>
      <c r="AR54" s="289"/>
    </row>
    <row r="55" spans="1:44" ht="14" x14ac:dyDescent="0.15">
      <c r="A55" s="28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90"/>
      <c r="T55" s="290"/>
      <c r="U55" s="290"/>
      <c r="V55" s="290"/>
      <c r="W55" s="290"/>
      <c r="X55" s="286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89"/>
      <c r="AK55" s="289"/>
      <c r="AL55" s="289"/>
      <c r="AM55" s="289"/>
      <c r="AN55" s="289"/>
      <c r="AO55" s="289"/>
      <c r="AP55" s="289"/>
      <c r="AQ55" s="289"/>
      <c r="AR55" s="289"/>
    </row>
    <row r="56" spans="1:44" ht="14" x14ac:dyDescent="0.15">
      <c r="A56" s="286"/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90"/>
      <c r="T56" s="290"/>
      <c r="U56" s="290"/>
      <c r="V56" s="290"/>
      <c r="W56" s="290"/>
      <c r="X56" s="286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89"/>
      <c r="AK56" s="289"/>
      <c r="AL56" s="289"/>
      <c r="AM56" s="289"/>
      <c r="AN56" s="289"/>
      <c r="AO56" s="289"/>
      <c r="AP56" s="289"/>
      <c r="AQ56" s="289"/>
      <c r="AR56" s="289"/>
    </row>
    <row r="57" spans="1:44" ht="14" x14ac:dyDescent="0.15">
      <c r="A57" s="286"/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90"/>
      <c r="T57" s="290"/>
      <c r="U57" s="290"/>
      <c r="V57" s="290"/>
      <c r="W57" s="290"/>
      <c r="X57" s="286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</row>
    <row r="58" spans="1:44" ht="14" x14ac:dyDescent="0.15">
      <c r="A58" s="286"/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90"/>
      <c r="T58" s="290"/>
      <c r="U58" s="290"/>
      <c r="V58" s="290"/>
      <c r="W58" s="290"/>
      <c r="X58" s="286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89"/>
      <c r="AK58" s="289"/>
      <c r="AL58" s="289"/>
      <c r="AM58" s="289"/>
      <c r="AN58" s="289"/>
      <c r="AO58" s="289"/>
      <c r="AP58" s="289"/>
      <c r="AQ58" s="289"/>
      <c r="AR58" s="289"/>
    </row>
    <row r="59" spans="1:44" ht="14" x14ac:dyDescent="0.15">
      <c r="A59" s="286"/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90"/>
      <c r="T59" s="290"/>
      <c r="U59" s="290"/>
      <c r="V59" s="290"/>
      <c r="W59" s="290"/>
      <c r="X59" s="286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289"/>
      <c r="AM59" s="289"/>
      <c r="AN59" s="289"/>
      <c r="AO59" s="289"/>
      <c r="AP59" s="289"/>
      <c r="AQ59" s="289"/>
      <c r="AR59" s="289"/>
    </row>
    <row r="60" spans="1:44" ht="14" x14ac:dyDescent="0.15">
      <c r="A60" s="286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90"/>
      <c r="T60" s="290"/>
      <c r="U60" s="290"/>
      <c r="V60" s="290"/>
      <c r="W60" s="290"/>
      <c r="X60" s="286"/>
      <c r="Y60" s="289"/>
      <c r="Z60" s="289"/>
      <c r="AA60" s="289"/>
      <c r="AB60" s="289"/>
      <c r="AC60" s="289"/>
      <c r="AD60" s="289"/>
      <c r="AE60" s="289"/>
      <c r="AF60" s="289"/>
      <c r="AG60" s="289"/>
      <c r="AH60" s="289"/>
      <c r="AI60" s="289"/>
      <c r="AJ60" s="289"/>
      <c r="AK60" s="289"/>
      <c r="AL60" s="289"/>
      <c r="AM60" s="289"/>
      <c r="AN60" s="289"/>
      <c r="AO60" s="289"/>
      <c r="AP60" s="289"/>
      <c r="AQ60" s="289"/>
      <c r="AR60" s="289"/>
    </row>
    <row r="61" spans="1:44" ht="14" x14ac:dyDescent="0.15">
      <c r="A61" s="286"/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90"/>
      <c r="T61" s="290"/>
      <c r="U61" s="290"/>
      <c r="V61" s="290"/>
      <c r="W61" s="290"/>
      <c r="X61" s="286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</row>
    <row r="62" spans="1:44" ht="14" x14ac:dyDescent="0.15">
      <c r="A62" s="286"/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90"/>
      <c r="T62" s="290"/>
      <c r="U62" s="290"/>
      <c r="V62" s="290"/>
      <c r="W62" s="290"/>
      <c r="X62" s="286"/>
      <c r="Y62" s="289"/>
      <c r="Z62" s="289"/>
      <c r="AA62" s="289"/>
      <c r="AB62" s="289"/>
      <c r="AC62" s="289"/>
      <c r="AD62" s="289"/>
      <c r="AE62" s="289"/>
      <c r="AF62" s="289"/>
      <c r="AG62" s="289"/>
      <c r="AH62" s="289"/>
      <c r="AI62" s="289"/>
      <c r="AJ62" s="289"/>
      <c r="AK62" s="289"/>
      <c r="AL62" s="289"/>
      <c r="AM62" s="289"/>
      <c r="AN62" s="289"/>
      <c r="AO62" s="289"/>
      <c r="AP62" s="289"/>
      <c r="AQ62" s="289"/>
      <c r="AR62" s="289"/>
    </row>
    <row r="63" spans="1:44" ht="14" x14ac:dyDescent="0.15">
      <c r="A63" s="286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90"/>
      <c r="T63" s="290"/>
      <c r="U63" s="290"/>
      <c r="V63" s="290"/>
      <c r="W63" s="290"/>
      <c r="X63" s="286"/>
      <c r="Y63" s="289"/>
      <c r="Z63" s="289"/>
      <c r="AA63" s="289"/>
      <c r="AB63" s="289"/>
      <c r="AC63" s="289"/>
      <c r="AD63" s="289"/>
      <c r="AE63" s="289"/>
      <c r="AF63" s="289"/>
      <c r="AG63" s="289"/>
      <c r="AH63" s="289"/>
      <c r="AI63" s="289"/>
      <c r="AJ63" s="289"/>
      <c r="AK63" s="289"/>
      <c r="AL63" s="289"/>
      <c r="AM63" s="289"/>
      <c r="AN63" s="289"/>
      <c r="AO63" s="289"/>
      <c r="AP63" s="289"/>
      <c r="AQ63" s="289"/>
      <c r="AR63" s="289"/>
    </row>
  </sheetData>
  <sheetProtection algorithmName="SHA-512" hashValue="RcavCReR1W3/kBOeClpUwBWT37Jzn4EKA7HxRmwwwOHxpmfqmZV/XdH+1+n6GHl2RhQoS+1TVwxAxkWxb3z3MA==" saltValue="D24+hQC1J048tM25vsJ4xA==" spinCount="100000" sheet="1" objects="1" scenarios="1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2D69E-E6FE-9841-AE96-9B52E6924B7F}">
  <sheetPr codeName="Sheet20">
    <tabColor rgb="FFCD7B93"/>
  </sheetPr>
  <dimension ref="A1:AR60"/>
  <sheetViews>
    <sheetView zoomScaleNormal="100" zoomScalePageLayoutView="120" workbookViewId="0">
      <selection activeCell="D8" sqref="D8"/>
    </sheetView>
  </sheetViews>
  <sheetFormatPr baseColWidth="10" defaultRowHeight="13" x14ac:dyDescent="0.15"/>
  <cols>
    <col min="1" max="1" width="20.33203125" customWidth="1"/>
    <col min="2" max="2" width="14" bestFit="1" customWidth="1"/>
    <col min="3" max="24" width="12.1640625" customWidth="1"/>
    <col min="25" max="53" width="7.5" customWidth="1"/>
  </cols>
  <sheetData>
    <row r="1" spans="1:44" ht="14" x14ac:dyDescent="0.15">
      <c r="A1" s="275" t="s">
        <v>149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</row>
    <row r="2" spans="1:44" ht="14" x14ac:dyDescent="0.15">
      <c r="A2" s="276" t="s">
        <v>48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</row>
    <row r="3" spans="1:44" ht="15" thickBot="1" x14ac:dyDescent="0.2">
      <c r="A3" s="275"/>
      <c r="B3" s="275"/>
      <c r="C3" s="275"/>
      <c r="D3" s="275"/>
      <c r="E3" s="275"/>
      <c r="F3" s="275"/>
      <c r="G3" s="277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</row>
    <row r="4" spans="1:44" ht="14" x14ac:dyDescent="0.15">
      <c r="A4" s="62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</row>
    <row r="5" spans="1:44" ht="14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7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</row>
    <row r="6" spans="1:44" ht="14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7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</row>
    <row r="7" spans="1:44" ht="75" x14ac:dyDescent="0.15">
      <c r="A7" s="251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1" t="s">
        <v>84</v>
      </c>
      <c r="G7" s="141" t="s">
        <v>85</v>
      </c>
      <c r="H7" s="141" t="s">
        <v>86</v>
      </c>
      <c r="I7" s="141" t="s">
        <v>87</v>
      </c>
      <c r="J7" s="252" t="s">
        <v>243</v>
      </c>
      <c r="K7" s="253" t="s">
        <v>61</v>
      </c>
      <c r="L7" s="142" t="s">
        <v>246</v>
      </c>
      <c r="M7" s="143" t="s">
        <v>62</v>
      </c>
      <c r="N7" s="143" t="s">
        <v>63</v>
      </c>
      <c r="O7" s="143" t="s">
        <v>64</v>
      </c>
      <c r="P7" s="143" t="s">
        <v>65</v>
      </c>
      <c r="Q7" s="254" t="s">
        <v>244</v>
      </c>
      <c r="R7" s="254" t="s">
        <v>245</v>
      </c>
      <c r="S7" s="255" t="s">
        <v>66</v>
      </c>
      <c r="T7" s="255" t="s">
        <v>67</v>
      </c>
      <c r="U7" s="144" t="s">
        <v>25</v>
      </c>
      <c r="V7" s="144" t="s">
        <v>26</v>
      </c>
      <c r="W7" s="143" t="s">
        <v>68</v>
      </c>
      <c r="X7" s="145" t="s">
        <v>95</v>
      </c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</row>
    <row r="8" spans="1:44" ht="14" x14ac:dyDescent="0.15">
      <c r="A8" s="182" t="str">
        <f>'TAS Apr 2021'!K2</f>
        <v>Aurora Energy</v>
      </c>
      <c r="B8" s="183" t="str">
        <f>'TAS Apr 2021'!L2</f>
        <v>Regulated</v>
      </c>
      <c r="C8" s="184">
        <f>IF('TAS Apr 2021'!BQ2=0,91*'TAS Apr 2021'!M2/100,(91*'TAS Apr 2021'!M2/100)+'TAS Apr 2021'!BQ2/4)</f>
        <v>84.820272727272709</v>
      </c>
      <c r="D8" s="184">
        <f>IF('TAS Apr 2021'!O2="",$C$5*'TAS Apr 2021'!N2/100,IF($C$5&gt;='TAS Apr 2021'!P2,('TAS Apr 2021'!P2*'TAS Apr 2021'!N2/100),($C$5*'TAS Apr 2021'!N2/100)))</f>
        <v>154.81818181818181</v>
      </c>
      <c r="E8" s="184">
        <f>IF(AND('TAS Apr 2021'!P2&gt;0,'TAS Apr 2021'!R2&gt;0),IF($C$5&lt;'TAS Apr 2021'!P2,0,IF($C$5&lt;=('TAS Apr 2021'!R2+'TAS Apr 2021'!P2),(($C$5-'TAS Apr 2021'!P2)*'TAS Apr 2021'!Q2/100),(('TAS Apr 2021'!R2)*'TAS Apr 2021'!Q2/100))),0)</f>
        <v>0</v>
      </c>
      <c r="F8" s="184">
        <f>IF(AND('TAS Apr 2021'!Q2&gt;0,'TAS Apr 2021'!S2&gt;0),IF($C$5&lt;('TAS Apr 2021'!R2+'TAS Apr 2021'!P2),0,IF($C$5&lt;=('TAS Apr 2021'!T2+'TAS Apr 2021'!R2+'TAS Apr 2021'!P2),(($C$5-('TAS Apr 2021'!R2+'TAS Apr 2021'!P2))*'TAS Apr 2021'!S2/100),('TAS Apr 2021'!T2*'TAS Apr 2021'!S2/100))),0)</f>
        <v>0</v>
      </c>
      <c r="G8" s="185">
        <v>0</v>
      </c>
      <c r="H8" s="184">
        <f>IF(AND('TAS Apr 2021'!R2&gt;0,'TAS Apr 2021'!T2&gt;0),IF(($C$5&lt;'TAS Apr 2021'!T2),(0),($C$5-'TAS Apr 2021'!T2)*'TAS Apr 2021'!U2/100),IF(AND('TAS Apr 2021'!R2&gt;0,'TAS Apr 2021'!T2=""),IF(($C$5&lt;'TAS Apr 2021'!R2+'TAS Apr 2021'!P2),(0),(($C$5-('TAS Apr 2021'!R2+'TAS Apr 2021'!P2))*'TAS Apr 2021'!S2/100)),IF(AND('TAS Apr 2021'!P2&gt;0,'TAS Apr 2021'!R2=""&gt;0),IF(($C$5&lt;'TAS Apr 2021'!P2),(0),($C$5-'TAS Apr 2021'!P2)*'TAS Apr 2021'!Q2/100),0)))</f>
        <v>1030.9090909090908</v>
      </c>
      <c r="I8" s="187">
        <f>SUM(C8:H8)</f>
        <v>1270.5475454545453</v>
      </c>
      <c r="J8" s="187">
        <f>(I8-C8)*4</f>
        <v>4742.9090909090901</v>
      </c>
      <c r="K8" s="187">
        <f>I8*4</f>
        <v>5082.1901818181814</v>
      </c>
      <c r="L8" s="188">
        <f>K8*1.1</f>
        <v>5590.4092000000001</v>
      </c>
      <c r="M8" s="189">
        <f>'TAS Apr 2021'!BC2</f>
        <v>0</v>
      </c>
      <c r="N8" s="189">
        <f>'TAS Apr 2021'!BD2</f>
        <v>0</v>
      </c>
      <c r="O8" s="189">
        <f>'TAS Apr 2021'!BE2</f>
        <v>0</v>
      </c>
      <c r="P8" s="189">
        <f>'TAS Apr 2021'!BF2</f>
        <v>0</v>
      </c>
      <c r="Q8" s="189" t="str">
        <f>IF(SUM(M8:P8)=0,"No discount",IF(M8&gt;0,"Guaranteed off bill",IF(N8&gt;0,"Guaranteed off usage",IF(O8&gt;0,"Pay-on-time off bill","Pay-on-time off usage"))))</f>
        <v>No discount</v>
      </c>
      <c r="R8" s="189" t="str">
        <f t="shared" ref="R8:R10" si="0">IF(OR(A8="Origin Energy",A8="Red Energy",A8="Powershop"),"Inclusive","Exclusive")</f>
        <v>Exclusive</v>
      </c>
      <c r="S8" s="22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5082.1901818181814</v>
      </c>
      <c r="T8" s="22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5082.1901818181814</v>
      </c>
      <c r="U8" s="188">
        <f t="shared" ref="U8:V10" si="1">S8*1.1</f>
        <v>5590.4092000000001</v>
      </c>
      <c r="V8" s="188">
        <f t="shared" si="1"/>
        <v>5590.4092000000001</v>
      </c>
      <c r="W8" s="190" t="str">
        <f>'TAS Apr 2021'!BM2</f>
        <v>n</v>
      </c>
      <c r="X8" s="191">
        <f>'TAS Apr 2021'!BN2</f>
        <v>0</v>
      </c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</row>
    <row r="9" spans="1:44" ht="14" x14ac:dyDescent="0.15">
      <c r="A9" s="150" t="str">
        <f>'TAS Apr 2021'!K3</f>
        <v>1st Energy</v>
      </c>
      <c r="B9" s="159" t="str">
        <f>'TAS Apr 2021'!L3</f>
        <v>1st Saver</v>
      </c>
      <c r="C9" s="124">
        <f>IF('TAS Apr 2021'!BQ3=0,91*'TAS Apr 2021'!M3/100,(91*'TAS Apr 2021'!M3/100)+'TAS Apr 2021'!BQ3/4)</f>
        <v>84.811999999999983</v>
      </c>
      <c r="D9" s="124">
        <f>IF('TAS Apr 2021'!O3="",$C$5*'TAS Apr 2021'!N3/100,IF($C$5&gt;='TAS Apr 2021'!P3,('TAS Apr 2021'!P3*'TAS Apr 2021'!N3/100),($C$5*'TAS Apr 2021'!N3/100)))</f>
        <v>154.81818181818181</v>
      </c>
      <c r="E9" s="124">
        <f>IF(AND('TAS Apr 2021'!P3&gt;0,'TAS Apr 2021'!R3&gt;0),IF($C$5&lt;'TAS Apr 2021'!P3,0,IF($C$5&lt;=('TAS Apr 2021'!R3+'TAS Apr 2021'!P3),(($C$5-'TAS Apr 2021'!P3)*'TAS Apr 2021'!Q3/100),(('TAS Apr 2021'!R3)*'TAS Apr 2021'!Q3/100))),0)</f>
        <v>0</v>
      </c>
      <c r="F9" s="124">
        <f>IF(AND('TAS Apr 2021'!Q3&gt;0,'TAS Apr 2021'!S3&gt;0),IF($C$5&lt;('TAS Apr 2021'!R3+'TAS Apr 2021'!P3),0,IF($C$5&lt;=('TAS Apr 2021'!T3+'TAS Apr 2021'!R3+'TAS Apr 2021'!P3),(($C$5-('TAS Apr 2021'!R3+'TAS Apr 2021'!P3))*'TAS Apr 2021'!S3/100),('TAS Apr 2021'!T3*'TAS Apr 2021'!S3/100))),0)</f>
        <v>0</v>
      </c>
      <c r="G9" s="126">
        <v>0</v>
      </c>
      <c r="H9" s="124">
        <f>IF(AND('TAS Apr 2021'!R3&gt;0,'TAS Apr 2021'!T3&gt;0),IF(($C$5&lt;'TAS Apr 2021'!T3),(0),($C$5-'TAS Apr 2021'!T3)*'TAS Apr 2021'!U3/100),IF(AND('TAS Apr 2021'!R3&gt;0,'TAS Apr 2021'!T3=""),IF(($C$5&lt;'TAS Apr 2021'!R3+'TAS Apr 2021'!P3),(0),(($C$5-('TAS Apr 2021'!R3+'TAS Apr 2021'!P3))*'TAS Apr 2021'!S3/100)),IF(AND('TAS Apr 2021'!P3&gt;0,'TAS Apr 2021'!R3=""&gt;0),IF(($C$5&lt;'TAS Apr 2021'!P3),(0),($C$5-'TAS Apr 2021'!P3)*'TAS Apr 2021'!Q3/100),0)))</f>
        <v>1030.5</v>
      </c>
      <c r="I9" s="128">
        <f>SUM(C9:H9)</f>
        <v>1270.1301818181819</v>
      </c>
      <c r="J9" s="128">
        <f>(I9-C9)*4</f>
        <v>4741.2727272727279</v>
      </c>
      <c r="K9" s="128">
        <f>I9*4</f>
        <v>5080.5207272727275</v>
      </c>
      <c r="L9" s="129">
        <f>K9*1.1</f>
        <v>5588.5728000000008</v>
      </c>
      <c r="M9" s="123">
        <f>'TAS Apr 2021'!BC3</f>
        <v>0</v>
      </c>
      <c r="N9" s="123">
        <f>'TAS Apr 2021'!BD3</f>
        <v>0</v>
      </c>
      <c r="O9" s="123">
        <f>'TAS Apr 2021'!BE3</f>
        <v>5</v>
      </c>
      <c r="P9" s="123">
        <f>'TAS Apr 2021'!BF3</f>
        <v>0</v>
      </c>
      <c r="Q9" s="123" t="str">
        <f>IF(SUM(M9:P9)=0,"No discount",IF(M9&gt;0,"Guaranteed off bill",IF(N9&gt;0,"Guaranteed off usage",IF(O9&gt;0,"Pay-on-time off bill","Pay-on-time off usage"))))</f>
        <v>Pay-on-time off bill</v>
      </c>
      <c r="R9" s="123" t="str">
        <f t="shared" si="0"/>
        <v>Exclusive</v>
      </c>
      <c r="S9" s="272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5080.5207272727275</v>
      </c>
      <c r="T9" s="273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4826.4946909090913</v>
      </c>
      <c r="U9" s="129">
        <f t="shared" si="1"/>
        <v>5588.5728000000008</v>
      </c>
      <c r="V9" s="129">
        <f t="shared" si="1"/>
        <v>5309.1441600000007</v>
      </c>
      <c r="W9" s="151">
        <f>'TAS Apr 2021'!BM3</f>
        <v>0</v>
      </c>
      <c r="X9" s="152">
        <f>'TAS Apr 2021'!BN3</f>
        <v>12</v>
      </c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</row>
    <row r="10" spans="1:44" ht="15" thickBot="1" x14ac:dyDescent="0.2">
      <c r="A10" s="153" t="str">
        <f>'TAS Apr 2021'!K4</f>
        <v>Future X Power</v>
      </c>
      <c r="B10" s="160" t="str">
        <f>'TAS Apr 2021'!L4</f>
        <v>Business Smart</v>
      </c>
      <c r="C10" s="133">
        <f>IF('TAS Apr 2021'!BQ4=0,91*'TAS Apr 2021'!M4/100,(91*'TAS Apr 2021'!M4/100)+'TAS Apr 2021'!BQ4/4)</f>
        <v>85.995000000000005</v>
      </c>
      <c r="D10" s="133">
        <f>IF('TAS Apr 2021'!O4="",$C$5*'TAS Apr 2021'!N4/100,IF($C$5&gt;='TAS Apr 2021'!P4,('TAS Apr 2021'!P4*'TAS Apr 2021'!N4/100),($C$5*'TAS Apr 2021'!N4/100)))</f>
        <v>156.99999999999997</v>
      </c>
      <c r="E10" s="133">
        <f>IF(AND('TAS Apr 2021'!P4&gt;0,'TAS Apr 2021'!R4&gt;0),IF($C$5&lt;'TAS Apr 2021'!P4,0,IF($C$5&lt;=('TAS Apr 2021'!R4+'TAS Apr 2021'!P4),(($C$5-'TAS Apr 2021'!P4)*'TAS Apr 2021'!Q4/100),(('TAS Apr 2021'!R4)*'TAS Apr 2021'!Q4/100))),0)</f>
        <v>0</v>
      </c>
      <c r="F10" s="133">
        <f>IF(AND('TAS Apr 2021'!Q4&gt;0,'TAS Apr 2021'!S4&gt;0),IF($C$5&lt;('TAS Apr 2021'!R4+'TAS Apr 2021'!P4),0,IF($C$5&lt;=('TAS Apr 2021'!T4+'TAS Apr 2021'!R4+'TAS Apr 2021'!P4),(($C$5-('TAS Apr 2021'!R4+'TAS Apr 2021'!P4))*'TAS Apr 2021'!S4/100),('TAS Apr 2021'!T4*'TAS Apr 2021'!S4/100))),0)</f>
        <v>0</v>
      </c>
      <c r="G10" s="135">
        <v>1</v>
      </c>
      <c r="H10" s="133">
        <f>IF(AND('TAS Apr 2021'!R4&gt;0,'TAS Apr 2021'!T4&gt;0),IF(($C$5&lt;'TAS Apr 2021'!T4),(0),($C$5-'TAS Apr 2021'!T4)*'TAS Apr 2021'!U4/100),IF(AND('TAS Apr 2021'!R4&gt;0,'TAS Apr 2021'!T4=""),IF(($C$5&lt;'TAS Apr 2021'!R4+'TAS Apr 2021'!P4),(0),(($C$5-('TAS Apr 2021'!R4+'TAS Apr 2021'!P4))*'TAS Apr 2021'!S4/100)),IF(AND('TAS Apr 2021'!P4&gt;0,'TAS Apr 2021'!R4=""&gt;0),IF(($C$5&lt;'TAS Apr 2021'!P4),(0),($C$5-'TAS Apr 2021'!P4)*'TAS Apr 2021'!Q4/100),0)))</f>
        <v>1044</v>
      </c>
      <c r="I10" s="137">
        <f>SUM(C10:H10)</f>
        <v>1287.9949999999999</v>
      </c>
      <c r="J10" s="137">
        <f>(I10-C10)*4</f>
        <v>4808</v>
      </c>
      <c r="K10" s="137">
        <f>I10*4</f>
        <v>5151.9799999999996</v>
      </c>
      <c r="L10" s="138">
        <f>K10*1.1</f>
        <v>5667.1779999999999</v>
      </c>
      <c r="M10" s="132">
        <f>'TAS Apr 2021'!BC4</f>
        <v>0</v>
      </c>
      <c r="N10" s="132">
        <f>'TAS Apr 2021'!BD4</f>
        <v>3</v>
      </c>
      <c r="O10" s="132">
        <f>'TAS Apr 2021'!BE4</f>
        <v>0</v>
      </c>
      <c r="P10" s="132">
        <f>'TAS Apr 2021'!BF4</f>
        <v>0</v>
      </c>
      <c r="Q10" s="132" t="str">
        <f>IF(SUM(M10:P10)=0,"No discount",IF(M10&gt;0,"Guaranteed off bill",IF(N10&gt;0,"Guaranteed off usage",IF(O10&gt;0,"Pay-on-time off bill","Pay-on-time off usage"))))</f>
        <v>Guaranteed off usage</v>
      </c>
      <c r="R10" s="132" t="str">
        <f t="shared" si="0"/>
        <v>Exclusive</v>
      </c>
      <c r="S10" s="221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5007.74</v>
      </c>
      <c r="T10" s="222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5007.74</v>
      </c>
      <c r="U10" s="138">
        <f t="shared" si="1"/>
        <v>5508.5140000000001</v>
      </c>
      <c r="V10" s="138">
        <f t="shared" si="1"/>
        <v>5508.5140000000001</v>
      </c>
      <c r="W10" s="154" t="str">
        <f>'TAS Apr 2021'!BM4</f>
        <v>n</v>
      </c>
      <c r="X10" s="155">
        <f>'TAS Apr 2021'!BN4</f>
        <v>0</v>
      </c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</row>
    <row r="11" spans="1:44" ht="14" x14ac:dyDescent="0.15">
      <c r="A11" s="275"/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</row>
    <row r="12" spans="1:44" ht="15" thickBot="1" x14ac:dyDescent="0.2">
      <c r="A12" s="275"/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</row>
    <row r="13" spans="1:44" ht="14" x14ac:dyDescent="0.15">
      <c r="A13" s="62" t="s">
        <v>96</v>
      </c>
      <c r="B13" s="63"/>
      <c r="C13" s="63"/>
      <c r="D13" s="79"/>
      <c r="E13" s="79"/>
      <c r="F13" s="79"/>
      <c r="G13" s="79"/>
      <c r="H13" s="79"/>
      <c r="I13" s="80"/>
      <c r="J13" s="80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5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</row>
    <row r="14" spans="1:44" ht="14" x14ac:dyDescent="0.15">
      <c r="A14" s="66" t="s">
        <v>79</v>
      </c>
      <c r="B14" s="64"/>
      <c r="C14" s="85">
        <v>5000</v>
      </c>
      <c r="D14" s="81"/>
      <c r="E14" s="81"/>
      <c r="F14" s="81"/>
      <c r="G14" s="81"/>
      <c r="H14" s="81"/>
      <c r="I14" s="82"/>
      <c r="J14" s="82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7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</row>
    <row r="15" spans="1:44" ht="14" x14ac:dyDescent="0.15">
      <c r="A15" s="66" t="s">
        <v>97</v>
      </c>
      <c r="B15" s="64"/>
      <c r="C15" s="86">
        <v>0.7</v>
      </c>
      <c r="D15" s="81"/>
      <c r="E15" s="81"/>
      <c r="F15" s="81"/>
      <c r="G15" s="81"/>
      <c r="H15" s="81"/>
      <c r="I15" s="82"/>
      <c r="J15" s="82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7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</row>
    <row r="16" spans="1:44" ht="14" x14ac:dyDescent="0.15">
      <c r="A16" s="66" t="s">
        <v>148</v>
      </c>
      <c r="B16" s="64"/>
      <c r="C16" s="86">
        <v>0.3</v>
      </c>
      <c r="D16" s="81"/>
      <c r="E16" s="81"/>
      <c r="F16" s="81"/>
      <c r="G16" s="81"/>
      <c r="H16" s="81"/>
      <c r="I16" s="82"/>
      <c r="J16" s="8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7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</row>
    <row r="17" spans="1:44" ht="14" x14ac:dyDescent="0.15">
      <c r="A17" s="66"/>
      <c r="B17" s="64"/>
      <c r="C17" s="81"/>
      <c r="D17" s="81"/>
      <c r="E17" s="81"/>
      <c r="F17" s="81"/>
      <c r="G17" s="81"/>
      <c r="H17" s="81"/>
      <c r="I17" s="82"/>
      <c r="J17" s="82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7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</row>
    <row r="18" spans="1:44" ht="75" x14ac:dyDescent="0.15">
      <c r="A18" s="251" t="s">
        <v>73</v>
      </c>
      <c r="B18" s="147" t="s">
        <v>80</v>
      </c>
      <c r="C18" s="141" t="s">
        <v>81</v>
      </c>
      <c r="D18" s="141" t="s">
        <v>82</v>
      </c>
      <c r="E18" s="141" t="s">
        <v>83</v>
      </c>
      <c r="F18" s="141" t="s">
        <v>84</v>
      </c>
      <c r="G18" s="141" t="s">
        <v>86</v>
      </c>
      <c r="H18" s="141" t="s">
        <v>96</v>
      </c>
      <c r="I18" s="141" t="s">
        <v>87</v>
      </c>
      <c r="J18" s="252" t="s">
        <v>243</v>
      </c>
      <c r="K18" s="253" t="s">
        <v>61</v>
      </c>
      <c r="L18" s="142" t="s">
        <v>246</v>
      </c>
      <c r="M18" s="143" t="s">
        <v>62</v>
      </c>
      <c r="N18" s="143" t="s">
        <v>63</v>
      </c>
      <c r="O18" s="143" t="s">
        <v>64</v>
      </c>
      <c r="P18" s="143" t="s">
        <v>65</v>
      </c>
      <c r="Q18" s="254" t="s">
        <v>244</v>
      </c>
      <c r="R18" s="254" t="s">
        <v>245</v>
      </c>
      <c r="S18" s="255" t="s">
        <v>66</v>
      </c>
      <c r="T18" s="255" t="s">
        <v>67</v>
      </c>
      <c r="U18" s="144" t="s">
        <v>25</v>
      </c>
      <c r="V18" s="144" t="s">
        <v>26</v>
      </c>
      <c r="W18" s="143" t="s">
        <v>68</v>
      </c>
      <c r="X18" s="145" t="s">
        <v>95</v>
      </c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</row>
    <row r="19" spans="1:44" ht="14" x14ac:dyDescent="0.15">
      <c r="A19" s="182" t="str">
        <f>'TAS Apr 2021'!K5</f>
        <v>Aurora Energy</v>
      </c>
      <c r="B19" s="183" t="str">
        <f>'TAS Apr 2021'!L5</f>
        <v>Regulated</v>
      </c>
      <c r="C19" s="184">
        <f>IF('TAS Apr 2021'!BQ5=0,91*'TAS Apr 2021'!M5/100,(91*'TAS Apr 2021'!M5/100)+'TAS Apr 2021'!BQ5/4)</f>
        <v>103.22709090909089</v>
      </c>
      <c r="D19" s="184">
        <f>IF('TAS Apr 2021'!O5="",$C$14*$C$15*'TAS Apr 2021'!N5/100,IF($C$14*$C$15&gt;='TAS Apr 2021'!P5,('TAS Apr 2021'!P5*'TAS Apr 2021'!N5/100),($C$14*$C$15*'TAS Apr 2021'!N5/100)))</f>
        <v>154.81818181818181</v>
      </c>
      <c r="E19" s="184">
        <f>IF(AND('TAS Apr 2021'!P5&gt;0,'TAS Apr 2021'!R5&gt;0),IF($C$14*$C$15&lt;'TAS Apr 2021'!P5,0,IF($C$14*$C$15&lt;=('TAS Apr 2021'!R5+'TAS Apr 2021'!P5),(($C$14*$C$15-'TAS Apr 2021'!P5)*'TAS Apr 2021'!Q5/100),(('TAS Apr 2021'!R5)*'TAS Apr 2021'!Q5/100))),0)</f>
        <v>0</v>
      </c>
      <c r="F19" s="184">
        <f>IF(AND('TAS Apr 2021'!Q2&gt;0,'TAS Apr 2021'!S2&gt;0),IF($C$14*$C$15&lt;('TAS Apr 2021'!R2+'TAS Apr 2021'!P2),0,IF($C$14*$C$15&lt;=('TAS Apr 2021'!T2+'TAS Apr 2021'!R2+'TAS Apr 2021'!P2),(($C$14*$C$15-('TAS Apr 2021'!R2+'TAS Apr 2021'!P2))*'TAS Apr 2021'!S2/100),('TAS Apr 2021'!T2*'TAS Apr 2021'!S2/100))),0)</f>
        <v>0</v>
      </c>
      <c r="G19" s="184">
        <f>IF(AND('TAS Apr 2021'!R5&gt;0,'TAS Apr 2021'!T5&gt;0),IF(($C$14*$C$15&lt;'TAS Apr 2021'!T5),(0),($C$14*$C$15-'TAS Apr 2021'!T5)*'TAS Apr 2021'!U5/100),IF(AND('TAS Apr 2021'!R5&gt;0,'TAS Apr 2021'!T5=""),IF(($C$14*$C$15&lt;'TAS Apr 2021'!R5+'TAS Apr 2021'!P5),(0),(($C$14*$C$15-('TAS Apr 2021'!R5+'TAS Apr 2021'!P5))*'TAS Apr 2021'!S5/100)),IF(AND('TAS Apr 2021'!P5&gt;0,'TAS Apr 2021'!R5=""&gt;0),IF(($C$14*$C$15&lt;'TAS Apr 2021'!P5),(0),($C$14*$C$15-'TAS Apr 2021'!P5)*'TAS Apr 2021'!Q5/100),0)))</f>
        <v>687.27272727272725</v>
      </c>
      <c r="H19" s="186">
        <f>($C$14*$C$16)*'TAS Apr 2021'!AF5/100</f>
        <v>192.27272727272725</v>
      </c>
      <c r="I19" s="187">
        <f>SUM(C19:H19)</f>
        <v>1137.5907272727272</v>
      </c>
      <c r="J19" s="187">
        <f>(I19-C19)*4</f>
        <v>4137.454545454545</v>
      </c>
      <c r="K19" s="187">
        <f>I19*4</f>
        <v>4550.3629090909089</v>
      </c>
      <c r="L19" s="188">
        <f>K19*1.1</f>
        <v>5005.3991999999998</v>
      </c>
      <c r="M19" s="189">
        <f>'TAS Apr 2021'!BC5</f>
        <v>0</v>
      </c>
      <c r="N19" s="189">
        <f>'TAS Apr 2021'!BD5</f>
        <v>0</v>
      </c>
      <c r="O19" s="189">
        <f>'TAS Apr 2021'!BE5</f>
        <v>0</v>
      </c>
      <c r="P19" s="189">
        <f>'TAS Apr 2021'!BF5</f>
        <v>0</v>
      </c>
      <c r="Q19" s="189" t="str">
        <f>IF(SUM(M19:P19)=0,"No discount",IF(M19&gt;0,"Guaranteed off bill",IF(N19&gt;0,"Guaranteed off usage",IF(O19&gt;0,"Pay-on-time off bill","Pay-on-time off usage"))))</f>
        <v>No discount</v>
      </c>
      <c r="R19" s="189" t="str">
        <f t="shared" ref="R19:R21" si="2">IF(OR(A19="Origin Energy",A19="Red Energy",A19="Powershop"),"Inclusive","Exclusive")</f>
        <v>Exclusive</v>
      </c>
      <c r="S19" s="220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4550.3629090909089</v>
      </c>
      <c r="T19" s="220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4550.3629090909089</v>
      </c>
      <c r="U19" s="188">
        <f t="shared" ref="U19:U21" si="3">IF(R19="Exclusive",S19*1.1,S19)</f>
        <v>5005.3991999999998</v>
      </c>
      <c r="V19" s="188">
        <f t="shared" ref="V19:V21" si="4">IF(R19="Exclusive",T19*1.1,T19)</f>
        <v>5005.3991999999998</v>
      </c>
      <c r="W19" s="190" t="str">
        <f>'TAS Apr 2021'!BM5</f>
        <v>n</v>
      </c>
      <c r="X19" s="191">
        <f>'TAS Apr 2021'!BN5</f>
        <v>0</v>
      </c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</row>
    <row r="20" spans="1:44" ht="14" x14ac:dyDescent="0.15">
      <c r="A20" s="150" t="str">
        <f>'TAS Apr 2021'!K6</f>
        <v>1st Energy</v>
      </c>
      <c r="B20" s="159" t="str">
        <f>'TAS Apr 2021'!L6</f>
        <v>1st Saver</v>
      </c>
      <c r="C20" s="124">
        <f>IF('TAS Apr 2021'!BQ6=0,91*'TAS Apr 2021'!M6/100,(91*'TAS Apr 2021'!M6/100)+'TAS Apr 2021'!BQ6/4)</f>
        <v>100.01727272727273</v>
      </c>
      <c r="D20" s="124">
        <f>IF('TAS Apr 2021'!O6="",$C$14*$C$15*'TAS Apr 2021'!N6/100,IF($C$14*$C$15&gt;='TAS Apr 2021'!P6,('TAS Apr 2021'!P6*'TAS Apr 2021'!N6/100),($C$14*$C$15*'TAS Apr 2021'!N6/100)))</f>
        <v>154.81818181818181</v>
      </c>
      <c r="E20" s="124">
        <f>IF(AND('TAS Apr 2021'!P6&gt;0,'TAS Apr 2021'!R6&gt;0),IF($C$14*$C$15&lt;'TAS Apr 2021'!P6,0,IF($C$14*$C$15&lt;=('TAS Apr 2021'!R6+'TAS Apr 2021'!P6),(($C$14*$C$15-'TAS Apr 2021'!P6)*'TAS Apr 2021'!Q6/100),(('TAS Apr 2021'!R6)*'TAS Apr 2021'!Q6/100))),0)</f>
        <v>0</v>
      </c>
      <c r="F20" s="124">
        <f>IF(AND('TAS Apr 2021'!Q3&gt;0,'TAS Apr 2021'!S3&gt;0),IF($C$14*$C$15&lt;('TAS Apr 2021'!R3+'TAS Apr 2021'!P3),0,IF($C$14*$C$15&lt;=('TAS Apr 2021'!T3+'TAS Apr 2021'!R3+'TAS Apr 2021'!P3),(($C$14*$C$15-('TAS Apr 2021'!R3+'TAS Apr 2021'!P3))*'TAS Apr 2021'!S3/100),('TAS Apr 2021'!T3*'TAS Apr 2021'!S3/100))),0)</f>
        <v>0</v>
      </c>
      <c r="G20" s="124">
        <f>IF(AND('TAS Apr 2021'!R6&gt;0,'TAS Apr 2021'!T6&gt;0),IF(($C$14*$C$15&lt;'TAS Apr 2021'!T6),(0),($C$14*$C$15-'TAS Apr 2021'!T6)*'TAS Apr 2021'!U6/100),IF(AND('TAS Apr 2021'!R6&gt;0,'TAS Apr 2021'!T6=""),IF(($C$14*$C$15&lt;'TAS Apr 2021'!R6+'TAS Apr 2021'!P6),(0),(($C$14*$C$15-('TAS Apr 2021'!R6+'TAS Apr 2021'!P6))*'TAS Apr 2021'!S6/100)),IF(AND('TAS Apr 2021'!P6&gt;0,'TAS Apr 2021'!R6=""&gt;0),IF(($C$14*$C$15&lt;'TAS Apr 2021'!P6),(0),($C$14*$C$15-'TAS Apr 2021'!P6)*'TAS Apr 2021'!Q6/100),0)))</f>
        <v>687</v>
      </c>
      <c r="H20" s="127">
        <f>($C$14*$C$16)*'TAS Apr 2021'!AF6/100</f>
        <v>219.95454545454544</v>
      </c>
      <c r="I20" s="128">
        <f>SUM(C20:H20)</f>
        <v>1161.79</v>
      </c>
      <c r="J20" s="128">
        <f>(I20-C20)*4</f>
        <v>4247.090909090909</v>
      </c>
      <c r="K20" s="128">
        <f>I20*4</f>
        <v>4647.16</v>
      </c>
      <c r="L20" s="129">
        <f>K20*1.1</f>
        <v>5111.8760000000002</v>
      </c>
      <c r="M20" s="123">
        <f>'TAS Apr 2021'!BC6</f>
        <v>0</v>
      </c>
      <c r="N20" s="123">
        <f>'TAS Apr 2021'!BD6</f>
        <v>0</v>
      </c>
      <c r="O20" s="123">
        <f>'TAS Apr 2021'!BE6</f>
        <v>5</v>
      </c>
      <c r="P20" s="123">
        <f>'TAS Apr 2021'!BF6</f>
        <v>0</v>
      </c>
      <c r="Q20" s="123" t="str">
        <f>IF(SUM(M20:P20)=0,"No discount",IF(M20&gt;0,"Guaranteed off bill",IF(N20&gt;0,"Guaranteed off usage",IF(O20&gt;0,"Pay-on-time off bill","Pay-on-time off usage"))))</f>
        <v>Pay-on-time off bill</v>
      </c>
      <c r="R20" s="123" t="str">
        <f t="shared" si="2"/>
        <v>Exclusive</v>
      </c>
      <c r="S20" s="272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4647.16</v>
      </c>
      <c r="T20" s="273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4414.8019999999997</v>
      </c>
      <c r="U20" s="129">
        <f t="shared" si="3"/>
        <v>5111.8760000000002</v>
      </c>
      <c r="V20" s="129">
        <f t="shared" si="4"/>
        <v>4856.2821999999996</v>
      </c>
      <c r="W20" s="151">
        <f>'TAS Apr 2021'!BM6</f>
        <v>0</v>
      </c>
      <c r="X20" s="152">
        <f>'TAS Apr 2021'!BN6</f>
        <v>12</v>
      </c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</row>
    <row r="21" spans="1:44" ht="15" thickBot="1" x14ac:dyDescent="0.2">
      <c r="A21" s="153" t="str">
        <f>'TAS Apr 2021'!K7</f>
        <v>Future X Power</v>
      </c>
      <c r="B21" s="160" t="str">
        <f>'TAS Apr 2021'!L7</f>
        <v>Business Smart</v>
      </c>
      <c r="C21" s="133">
        <f>IF('TAS Apr 2021'!BQ7=0,91*'TAS Apr 2021'!M7/100,(91*'TAS Apr 2021'!M7/100)+'TAS Apr 2021'!BQ7/4)</f>
        <v>93.092999999999989</v>
      </c>
      <c r="D21" s="133">
        <f>IF('TAS Apr 2021'!O7="",$C$14*$C$15*'TAS Apr 2021'!N7/100,IF($C$14*$C$15&gt;='TAS Apr 2021'!P7,('TAS Apr 2021'!P7*'TAS Apr 2021'!N7/100),($C$14*$C$15*'TAS Apr 2021'!N7/100)))</f>
        <v>156.99999999999997</v>
      </c>
      <c r="E21" s="133">
        <f>IF(AND('TAS Apr 2021'!P7&gt;0,'TAS Apr 2021'!R7&gt;0),IF($C$14*$C$15&lt;'TAS Apr 2021'!P7,0,IF($C$14*$C$15&lt;=('TAS Apr 2021'!R7+'TAS Apr 2021'!P7),(($C$14*$C$15-'TAS Apr 2021'!P7)*'TAS Apr 2021'!Q7/100),(('TAS Apr 2021'!R7)*'TAS Apr 2021'!Q7/100))),0)</f>
        <v>0</v>
      </c>
      <c r="F21" s="133">
        <f>IF(AND('TAS Apr 2021'!Q4&gt;0,'TAS Apr 2021'!S4&gt;0),IF($C$14*$C$15&lt;('TAS Apr 2021'!R4+'TAS Apr 2021'!P4),0,IF($C$14*$C$15&lt;=('TAS Apr 2021'!T4+'TAS Apr 2021'!R4+'TAS Apr 2021'!P4),(($C$14*$C$15-('TAS Apr 2021'!R4+'TAS Apr 2021'!P4))*'TAS Apr 2021'!S4/100),('TAS Apr 2021'!T4*'TAS Apr 2021'!S4/100))),0)</f>
        <v>0</v>
      </c>
      <c r="G21" s="133">
        <f>IF(AND('TAS Apr 2021'!R7&gt;0,'TAS Apr 2021'!T7&gt;0),IF(($C$14*$C$15&lt;'TAS Apr 2021'!T7),(0),($C$14*$C$15-'TAS Apr 2021'!T7)*'TAS Apr 2021'!U7/100),IF(AND('TAS Apr 2021'!R7&gt;0,'TAS Apr 2021'!T7=""),IF(($C$14*$C$15&lt;'TAS Apr 2021'!R7+'TAS Apr 2021'!P7),(0),(($C$14*$C$15-('TAS Apr 2021'!R7+'TAS Apr 2021'!P7))*'TAS Apr 2021'!S7/100)),IF(AND('TAS Apr 2021'!P7&gt;0,'TAS Apr 2021'!R7=""&gt;0),IF(($C$14*$C$15&lt;'TAS Apr 2021'!P7),(0),($C$14*$C$15-'TAS Apr 2021'!P7)*'TAS Apr 2021'!Q7/100),0)))</f>
        <v>696</v>
      </c>
      <c r="H21" s="136">
        <f>($C$14*$C$16)*'TAS Apr 2021'!AF7/100</f>
        <v>223.49999999999997</v>
      </c>
      <c r="I21" s="137">
        <f>SUM(C21:H21)</f>
        <v>1169.5929999999998</v>
      </c>
      <c r="J21" s="137">
        <f>(I21-C21)*4</f>
        <v>4305.9999999999991</v>
      </c>
      <c r="K21" s="137">
        <f>I21*4</f>
        <v>4678.3719999999994</v>
      </c>
      <c r="L21" s="138">
        <f>K21*1.1</f>
        <v>5146.2091999999993</v>
      </c>
      <c r="M21" s="132">
        <f>'TAS Apr 2021'!BC7</f>
        <v>0</v>
      </c>
      <c r="N21" s="132">
        <f>'TAS Apr 2021'!BD7</f>
        <v>3</v>
      </c>
      <c r="O21" s="132">
        <f>'TAS Apr 2021'!BE7</f>
        <v>0</v>
      </c>
      <c r="P21" s="132">
        <f>'TAS Apr 2021'!BF7</f>
        <v>0</v>
      </c>
      <c r="Q21" s="132" t="str">
        <f>IF(SUM(M21:P21)=0,"No discount",IF(M21&gt;0,"Guaranteed off bill",IF(N21&gt;0,"Guaranteed off usage",IF(O21&gt;0,"Pay-on-time off bill","Pay-on-time off usage"))))</f>
        <v>Guaranteed off usage</v>
      </c>
      <c r="R21" s="132" t="str">
        <f t="shared" si="2"/>
        <v>Exclusive</v>
      </c>
      <c r="S21" s="221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4549.1919999999991</v>
      </c>
      <c r="T21" s="222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4549.1919999999991</v>
      </c>
      <c r="U21" s="138">
        <f t="shared" si="3"/>
        <v>5004.1111999999994</v>
      </c>
      <c r="V21" s="138">
        <f t="shared" si="4"/>
        <v>5004.1111999999994</v>
      </c>
      <c r="W21" s="154" t="str">
        <f>'TAS Apr 2021'!BM7</f>
        <v>n</v>
      </c>
      <c r="X21" s="155">
        <f>'TAS Apr 2021'!BN7</f>
        <v>0</v>
      </c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</row>
    <row r="22" spans="1:44" ht="14" x14ac:dyDescent="0.15">
      <c r="A22" s="275"/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</row>
    <row r="23" spans="1:44" ht="15" thickBot="1" x14ac:dyDescent="0.2">
      <c r="A23" s="275"/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7"/>
      <c r="T23" s="275"/>
      <c r="U23" s="277"/>
      <c r="V23" s="277"/>
      <c r="W23" s="277"/>
      <c r="X23" s="275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</row>
    <row r="24" spans="1:44" ht="14" x14ac:dyDescent="0.15">
      <c r="A24" s="62" t="s">
        <v>33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5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</row>
    <row r="25" spans="1:44" ht="14" x14ac:dyDescent="0.15">
      <c r="A25" s="66" t="s">
        <v>22</v>
      </c>
      <c r="B25" s="64"/>
      <c r="C25" s="85">
        <v>5000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7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</row>
    <row r="26" spans="1:44" ht="14" x14ac:dyDescent="0.15">
      <c r="A26" s="66" t="s">
        <v>23</v>
      </c>
      <c r="B26" s="64"/>
      <c r="C26" s="86">
        <v>0.3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7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</row>
    <row r="27" spans="1:44" ht="14" x14ac:dyDescent="0.15">
      <c r="A27" s="66" t="s">
        <v>24</v>
      </c>
      <c r="B27" s="64"/>
      <c r="C27" s="86">
        <v>0.4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7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8"/>
    </row>
    <row r="28" spans="1:44" ht="14" x14ac:dyDescent="0.15">
      <c r="A28" s="66" t="s">
        <v>21</v>
      </c>
      <c r="B28" s="64"/>
      <c r="C28" s="86">
        <v>0.3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7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</row>
    <row r="29" spans="1:44" ht="14" x14ac:dyDescent="0.15">
      <c r="A29" s="66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7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  <c r="AQ29" s="278"/>
      <c r="AR29" s="278"/>
    </row>
    <row r="30" spans="1:44" ht="75" x14ac:dyDescent="0.15">
      <c r="A30" s="251" t="s">
        <v>35</v>
      </c>
      <c r="B30" s="147" t="s">
        <v>36</v>
      </c>
      <c r="C30" s="141" t="s">
        <v>27</v>
      </c>
      <c r="D30" s="141" t="s">
        <v>153</v>
      </c>
      <c r="E30" s="141" t="s">
        <v>83</v>
      </c>
      <c r="F30" s="141" t="s">
        <v>154</v>
      </c>
      <c r="G30" s="141" t="s">
        <v>155</v>
      </c>
      <c r="H30" s="141" t="s">
        <v>156</v>
      </c>
      <c r="I30" s="141" t="s">
        <v>87</v>
      </c>
      <c r="J30" s="252" t="s">
        <v>243</v>
      </c>
      <c r="K30" s="253" t="s">
        <v>157</v>
      </c>
      <c r="L30" s="142" t="s">
        <v>246</v>
      </c>
      <c r="M30" s="143" t="s">
        <v>94</v>
      </c>
      <c r="N30" s="143" t="s">
        <v>123</v>
      </c>
      <c r="O30" s="143" t="s">
        <v>124</v>
      </c>
      <c r="P30" s="143" t="s">
        <v>125</v>
      </c>
      <c r="Q30" s="254" t="s">
        <v>244</v>
      </c>
      <c r="R30" s="254" t="s">
        <v>245</v>
      </c>
      <c r="S30" s="255" t="s">
        <v>66</v>
      </c>
      <c r="T30" s="255" t="s">
        <v>67</v>
      </c>
      <c r="U30" s="144" t="s">
        <v>25</v>
      </c>
      <c r="V30" s="144" t="s">
        <v>26</v>
      </c>
      <c r="W30" s="143" t="s">
        <v>55</v>
      </c>
      <c r="X30" s="145" t="s">
        <v>160</v>
      </c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  <c r="AQ30" s="278"/>
      <c r="AR30" s="278"/>
    </row>
    <row r="31" spans="1:44" ht="14" x14ac:dyDescent="0.15">
      <c r="A31" s="182" t="str">
        <f>'TAS Apr 2021'!K8</f>
        <v>Aurora Energy</v>
      </c>
      <c r="B31" s="183" t="str">
        <f>'TAS Apr 2021'!L8</f>
        <v>Regulated</v>
      </c>
      <c r="C31" s="184">
        <f>IF('TAS Apr 2021'!BQ8=0,91*'TAS Apr 2021'!M8/100,(91*'TAS Apr 2021'!M8/100)+'TAS Apr 2021'!BQ8/4)</f>
        <v>91.876909090909081</v>
      </c>
      <c r="D31" s="184">
        <f>IF('TAS Apr 2021'!O8="",$C$25*$C$26*'TAS Apr 2021'!N8/100,IF($C$25*$C$26&gt;='TAS Apr 2021'!P8,('TAS Apr 2021'!P8*'TAS Apr 2021'!N8/100),($C$25*$C$26*'TAS Apr 2021'!N8/100)))</f>
        <v>382.22727272727275</v>
      </c>
      <c r="E31" s="184">
        <f>IF(AND('TAS Apr 2021'!P8&gt;0,'TAS Apr 2021'!R8&gt;0),IF($C$25*$C$26&lt;'TAS Apr 2021'!P8,0,IF($C$25*$C$26&lt;=('TAS Apr 2021'!R8+'TAS Apr 2021'!P8),(($C$25*$C$26-'TAS Apr 2021'!P8)*'TAS Apr 2021'!Q8/100),(('TAS Apr 2021'!R8)*'TAS Apr 2021'!Q8/100))),0)</f>
        <v>0</v>
      </c>
      <c r="F31" s="184">
        <f>IF(AND('TAS Apr 2021'!R8&gt;0,'TAS Apr 2021'!T8&gt;0),IF(($C$25*$C$26&lt;'TAS Apr 2021'!T8),(0),($C$25*$C$246-'TAS Apr 2021'!T8)*'TAS Apr 2021'!U8/100),IF(AND('TAS Apr 2021'!R8&gt;0,'TAS Apr 2021'!T8=""),IF(($C$25*$C$26&lt;'TAS Apr 2021'!R8+'TAS Apr 2021'!P8),(0),(($C$25*$C$26-('TAS Apr 2021'!R8+'TAS Apr 2021'!P8))*'TAS Apr 2021'!S8/100)),IF(AND('TAS Apr 2021'!P8&gt;0,'TAS Apr 2021'!R8=""&gt;0),IF(($C$25*$C$26&lt;'TAS Apr 2021'!P8),(0),($C$25*$C$26-'TAS Apr 2021'!P8)*'TAS Apr 2021'!Q8/100),0)))</f>
        <v>0</v>
      </c>
      <c r="G31" s="185">
        <f>($C$25*$C$27)*'TAS Apr 2021'!AI8/100</f>
        <v>368.36363636363632</v>
      </c>
      <c r="H31" s="186">
        <f>($C$25*$C$28)*'TAS Apr 2021'!W8/100</f>
        <v>161.59090909090909</v>
      </c>
      <c r="I31" s="187">
        <f>SUM(C31:H31)</f>
        <v>1004.0587272727272</v>
      </c>
      <c r="J31" s="187">
        <f>(I31-C31)*4</f>
        <v>3648.7272727272725</v>
      </c>
      <c r="K31" s="187">
        <f>I31*4</f>
        <v>4016.2349090909088</v>
      </c>
      <c r="L31" s="188">
        <f>K31*1.1</f>
        <v>4417.8584000000001</v>
      </c>
      <c r="M31" s="189">
        <f>'TAS Apr 2021'!BC8</f>
        <v>0</v>
      </c>
      <c r="N31" s="189">
        <f>'TAS Apr 2021'!BD8</f>
        <v>0</v>
      </c>
      <c r="O31" s="189">
        <f>'TAS Apr 2021'!BE8</f>
        <v>0</v>
      </c>
      <c r="P31" s="189">
        <f>'TAS Apr 2021'!BF8</f>
        <v>0</v>
      </c>
      <c r="Q31" s="189" t="str">
        <f>IF(SUM(M31:P31)=0,"No discount",IF(M31&gt;0,"Guaranteed off bill",IF(N31&gt;0,"Guaranteed off usage",IF(O31&gt;0,"Pay-on-time off bill","Pay-on-time off usage"))))</f>
        <v>No discount</v>
      </c>
      <c r="R31" s="189" t="str">
        <f t="shared" ref="R31:R32" si="5">IF(OR(A31="Origin Energy",A31="Red Energy",A31="Powershop"),"Inclusive","Exclusive")</f>
        <v>Exclusive</v>
      </c>
      <c r="S31" s="223">
        <f>IF(AND(Q31="Guaranteed off bill",R31="Inclusive"),((K31*1.1)-((K31*1.1)*M31/100))/1.1,IF(AND(Q31="Guaranteed off usage",R31="Inclusive"),((K31*1.1)-((J31*1.1)*N31/100))/1.1,IF(AND(Q31="Guaranteed off bill",R31="Exclusive"),K31-(K31*M31/100),IF(AND(Q31="Guaranteed off usage",R31="Exclusive"),K31-(J31*N31/100),IF(R31="Inclusive",((K31*1.1))/1.1,K31)))))</f>
        <v>4016.2349090909088</v>
      </c>
      <c r="T31" s="224">
        <f>IF(AND(Q31="Pay-on-time off bill",R31="Inclusive"),((S31*1.1)-((S31*1.1)*O31/100))/1.1,IF(AND(Q31="Pay-on-time off usage",R31="Inclusive"),((S31*1.1)-((J31*1.1)*P31/100))/1.1,IF(AND(Q31="Pay-on-time off bill",R31="Exclusive"),S31-(S31*O31/100),IF(AND(Q31="Pay-on-time off usage",R31="Exclusive"),S31-(J31*P31/100),IF(R31="Inclusive",((S31*1.1))/1.1,S31)))))</f>
        <v>4016.2349090909088</v>
      </c>
      <c r="U31" s="188">
        <f t="shared" ref="U31:U32" si="6">IF(R31="Exclusive",S31*1.1,S31)</f>
        <v>4417.8584000000001</v>
      </c>
      <c r="V31" s="188">
        <f t="shared" ref="V31:V32" si="7">IF(R31="Exclusive",T31*1.1,T31)</f>
        <v>4417.8584000000001</v>
      </c>
      <c r="W31" s="190" t="str">
        <f>'TAS Apr 2021'!BM8</f>
        <v>n</v>
      </c>
      <c r="X31" s="191">
        <f>'TAS Apr 2021'!BN8</f>
        <v>0</v>
      </c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</row>
    <row r="32" spans="1:44" ht="15" thickBot="1" x14ac:dyDescent="0.2">
      <c r="A32" s="153" t="str">
        <f>'TAS Apr 2021'!K9</f>
        <v>1st Energy</v>
      </c>
      <c r="B32" s="160" t="str">
        <f>'TAS Apr 2021'!L9</f>
        <v>1st Saver</v>
      </c>
      <c r="C32" s="133">
        <f>IF('TAS Apr 2021'!BQ9=0,91*'TAS Apr 2021'!M9/100,(91*'TAS Apr 2021'!M9/100)+'TAS Apr 2021'!BQ9/4)</f>
        <v>91.876909090909081</v>
      </c>
      <c r="D32" s="133">
        <f>IF('TAS Apr 2021'!O9="",$C$25*$C$26*'TAS Apr 2021'!N9/100,IF($C$25*$C$26&gt;='TAS Apr 2021'!P9,('TAS Apr 2021'!P9*'TAS Apr 2021'!N9/100),($C$25*$C$26*'TAS Apr 2021'!N9/100)))</f>
        <v>382.22727272727275</v>
      </c>
      <c r="E32" s="133">
        <f>IF(AND('TAS Apr 2021'!P9&gt;0,'TAS Apr 2021'!R9&gt;0),IF($C$25*$C$26&lt;'TAS Apr 2021'!P9,0,IF($C$25*$C$26&lt;=('TAS Apr 2021'!R9+'TAS Apr 2021'!P9),(($C$25*$C$26-'TAS Apr 2021'!P9)*'TAS Apr 2021'!Q9/100),(('TAS Apr 2021'!R9)*'TAS Apr 2021'!Q9/100))),0)</f>
        <v>0</v>
      </c>
      <c r="F32" s="133">
        <f>IF(AND('TAS Apr 2021'!R9&gt;0,'TAS Apr 2021'!T9&gt;0),IF(($C$25*$C$26&lt;'TAS Apr 2021'!T9),(0),($C$25*$C$246-'TAS Apr 2021'!T9)*'TAS Apr 2021'!U9/100),IF(AND('TAS Apr 2021'!R9&gt;0,'TAS Apr 2021'!T9=""),IF(($C$25*$C$26&lt;'TAS Apr 2021'!R9+'TAS Apr 2021'!P9),(0),(($C$25*$C$26-('TAS Apr 2021'!R9+'TAS Apr 2021'!P9))*'TAS Apr 2021'!S9/100)),IF(AND('TAS Apr 2021'!P9&gt;0,'TAS Apr 2021'!R9=""&gt;0),IF(($C$25*$C$26&lt;'TAS Apr 2021'!P9),(0),($C$25*$C$26-'TAS Apr 2021'!P9)*'TAS Apr 2021'!Q9/100),0)))</f>
        <v>0</v>
      </c>
      <c r="G32" s="135">
        <f>($C$25*$C$27)*'TAS Apr 2021'!AI9/100</f>
        <v>0</v>
      </c>
      <c r="H32" s="136">
        <f>($C$25*$C$28)*'TAS Apr 2021'!W9/100</f>
        <v>161.59090909090909</v>
      </c>
      <c r="I32" s="137">
        <f>SUM(C32:H32)</f>
        <v>635.69509090909094</v>
      </c>
      <c r="J32" s="137">
        <f>(I32-C32)*4</f>
        <v>2175.2727272727275</v>
      </c>
      <c r="K32" s="137">
        <f>I32*4</f>
        <v>2542.7803636363637</v>
      </c>
      <c r="L32" s="138">
        <f>K32*1.1</f>
        <v>2797.0584000000003</v>
      </c>
      <c r="M32" s="132">
        <f>'TAS Apr 2021'!BC9</f>
        <v>0</v>
      </c>
      <c r="N32" s="132">
        <f>'TAS Apr 2021'!BD9</f>
        <v>0</v>
      </c>
      <c r="O32" s="132">
        <f>'TAS Apr 2021'!BE9</f>
        <v>5</v>
      </c>
      <c r="P32" s="132">
        <f>'TAS Apr 2021'!BF9</f>
        <v>0</v>
      </c>
      <c r="Q32" s="132" t="str">
        <f>IF(SUM(M32:P32)=0,"No discount",IF(M32&gt;0,"Guaranteed off bill",IF(N32&gt;0,"Guaranteed off usage",IF(O32&gt;0,"Pay-on-time off bill","Pay-on-time off usage"))))</f>
        <v>Pay-on-time off bill</v>
      </c>
      <c r="R32" s="132" t="str">
        <f t="shared" si="5"/>
        <v>Exclusive</v>
      </c>
      <c r="S32" s="221">
        <f>IF(AND(Q32="Guaranteed off bill",R32="Inclusive"),((K32*1.1)-((K32*1.1)*M32/100))/1.1,IF(AND(Q32="Guaranteed off usage",R32="Inclusive"),((K32*1.1)-((J32*1.1)*N32/100))/1.1,IF(AND(Q32="Guaranteed off bill",R32="Exclusive"),K32-(K32*M32/100),IF(AND(Q32="Guaranteed off usage",R32="Exclusive"),K32-(J32*N32/100),IF(R32="Inclusive",((K32*1.1))/1.1,K32)))))</f>
        <v>2542.7803636363637</v>
      </c>
      <c r="T32" s="222">
        <f>IF(AND(Q32="Pay-on-time off bill",R32="Inclusive"),((S32*1.1)-((S32*1.1)*O32/100))/1.1,IF(AND(Q32="Pay-on-time off usage",R32="Inclusive"),((S32*1.1)-((J32*1.1)*P32/100))/1.1,IF(AND(Q32="Pay-on-time off bill",R32="Exclusive"),S32-(S32*O32/100),IF(AND(Q32="Pay-on-time off usage",R32="Exclusive"),S32-(J32*P32/100),IF(R32="Inclusive",((S32*1.1))/1.1,S32)))))</f>
        <v>2415.6413454545454</v>
      </c>
      <c r="U32" s="138">
        <f t="shared" si="6"/>
        <v>2797.0584000000003</v>
      </c>
      <c r="V32" s="138">
        <f t="shared" si="7"/>
        <v>2657.2054800000001</v>
      </c>
      <c r="W32" s="154">
        <f>'TAS Apr 2021'!BM9</f>
        <v>0</v>
      </c>
      <c r="X32" s="155">
        <f>'TAS Apr 2021'!BN9</f>
        <v>12</v>
      </c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</row>
    <row r="33" spans="1:44" ht="14" x14ac:dyDescent="0.15">
      <c r="A33" s="275"/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278"/>
      <c r="AO33" s="278"/>
      <c r="AP33" s="278"/>
      <c r="AQ33" s="278"/>
      <c r="AR33" s="278"/>
    </row>
    <row r="34" spans="1:44" ht="14" x14ac:dyDescent="0.15">
      <c r="A34" s="275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9"/>
      <c r="T34" s="279"/>
      <c r="U34" s="279"/>
      <c r="V34" s="279"/>
      <c r="W34" s="279"/>
      <c r="X34" s="275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278"/>
      <c r="AO34" s="278"/>
      <c r="AP34" s="278"/>
      <c r="AQ34" s="278"/>
      <c r="AR34" s="278"/>
    </row>
    <row r="35" spans="1:44" ht="14" x14ac:dyDescent="0.15">
      <c r="A35" s="275"/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9"/>
      <c r="T35" s="279"/>
      <c r="U35" s="279"/>
      <c r="V35" s="279"/>
      <c r="W35" s="279"/>
      <c r="X35" s="275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  <c r="AQ35" s="278"/>
      <c r="AR35" s="278"/>
    </row>
    <row r="36" spans="1:44" ht="14" x14ac:dyDescent="0.1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9"/>
      <c r="T36" s="279"/>
      <c r="U36" s="279"/>
      <c r="V36" s="279"/>
      <c r="W36" s="279"/>
      <c r="X36" s="275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</row>
    <row r="37" spans="1:44" ht="14" x14ac:dyDescent="0.15">
      <c r="A37" s="275"/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9"/>
      <c r="T37" s="279"/>
      <c r="U37" s="279"/>
      <c r="V37" s="279"/>
      <c r="W37" s="279"/>
      <c r="X37" s="275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</row>
    <row r="38" spans="1:44" ht="14" x14ac:dyDescent="0.15">
      <c r="A38" s="275"/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9"/>
      <c r="T38" s="279"/>
      <c r="U38" s="279"/>
      <c r="V38" s="279"/>
      <c r="W38" s="279"/>
      <c r="X38" s="275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</row>
    <row r="39" spans="1:44" ht="14" x14ac:dyDescent="0.15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9"/>
      <c r="T39" s="279"/>
      <c r="U39" s="279"/>
      <c r="V39" s="279"/>
      <c r="W39" s="279"/>
      <c r="X39" s="275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8"/>
      <c r="AK39" s="278"/>
      <c r="AL39" s="278"/>
      <c r="AM39" s="278"/>
      <c r="AN39" s="278"/>
      <c r="AO39" s="278"/>
      <c r="AP39" s="278"/>
      <c r="AQ39" s="278"/>
      <c r="AR39" s="278"/>
    </row>
    <row r="40" spans="1:44" ht="14" x14ac:dyDescent="0.15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9"/>
      <c r="T40" s="279"/>
      <c r="U40" s="279"/>
      <c r="V40" s="279"/>
      <c r="W40" s="279"/>
      <c r="X40" s="275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</row>
    <row r="41" spans="1:44" ht="14" x14ac:dyDescent="0.15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9"/>
      <c r="T41" s="279"/>
      <c r="U41" s="279"/>
      <c r="V41" s="279"/>
      <c r="W41" s="279"/>
      <c r="X41" s="275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278"/>
      <c r="AQ41" s="278"/>
      <c r="AR41" s="278"/>
    </row>
    <row r="42" spans="1:44" ht="14" x14ac:dyDescent="0.15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9"/>
      <c r="T42" s="279"/>
      <c r="U42" s="279"/>
      <c r="V42" s="279"/>
      <c r="W42" s="279"/>
      <c r="X42" s="275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8"/>
      <c r="AO42" s="278"/>
      <c r="AP42" s="278"/>
      <c r="AQ42" s="278"/>
      <c r="AR42" s="278"/>
    </row>
    <row r="43" spans="1:44" ht="14" x14ac:dyDescent="0.15">
      <c r="A43" s="275"/>
      <c r="B43" s="275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9"/>
      <c r="T43" s="279"/>
      <c r="U43" s="279"/>
      <c r="V43" s="279"/>
      <c r="W43" s="279"/>
      <c r="X43" s="275"/>
      <c r="Y43" s="278"/>
      <c r="Z43" s="278"/>
      <c r="AA43" s="278"/>
      <c r="AB43" s="278"/>
      <c r="AC43" s="278"/>
      <c r="AD43" s="278"/>
      <c r="AE43" s="278"/>
      <c r="AF43" s="278"/>
      <c r="AG43" s="278"/>
      <c r="AH43" s="278"/>
      <c r="AI43" s="278"/>
      <c r="AJ43" s="278"/>
      <c r="AK43" s="278"/>
      <c r="AL43" s="278"/>
      <c r="AM43" s="278"/>
      <c r="AN43" s="278"/>
      <c r="AO43" s="278"/>
      <c r="AP43" s="278"/>
      <c r="AQ43" s="278"/>
      <c r="AR43" s="278"/>
    </row>
    <row r="44" spans="1:44" ht="14" x14ac:dyDescent="0.15">
      <c r="A44" s="275"/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9"/>
      <c r="T44" s="279"/>
      <c r="U44" s="279"/>
      <c r="V44" s="279"/>
      <c r="W44" s="279"/>
      <c r="X44" s="275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</row>
    <row r="45" spans="1:44" ht="14" x14ac:dyDescent="0.15">
      <c r="A45" s="275"/>
      <c r="B45" s="2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9"/>
      <c r="T45" s="279"/>
      <c r="U45" s="279"/>
      <c r="V45" s="279"/>
      <c r="W45" s="279"/>
      <c r="X45" s="275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P45" s="278"/>
      <c r="AQ45" s="278"/>
      <c r="AR45" s="278"/>
    </row>
    <row r="46" spans="1:44" ht="14" x14ac:dyDescent="0.15">
      <c r="A46" s="275"/>
      <c r="B46" s="275"/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9"/>
      <c r="T46" s="279"/>
      <c r="U46" s="279"/>
      <c r="V46" s="279"/>
      <c r="W46" s="279"/>
      <c r="X46" s="275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N46" s="278"/>
      <c r="AO46" s="278"/>
      <c r="AP46" s="278"/>
      <c r="AQ46" s="278"/>
      <c r="AR46" s="278"/>
    </row>
    <row r="47" spans="1:44" ht="14" x14ac:dyDescent="0.15">
      <c r="A47" s="275"/>
      <c r="B47" s="275"/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9"/>
      <c r="T47" s="279"/>
      <c r="U47" s="279"/>
      <c r="V47" s="279"/>
      <c r="W47" s="279"/>
      <c r="X47" s="275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278"/>
      <c r="AJ47" s="278"/>
      <c r="AK47" s="278"/>
      <c r="AL47" s="278"/>
      <c r="AM47" s="278"/>
      <c r="AN47" s="278"/>
      <c r="AO47" s="278"/>
      <c r="AP47" s="278"/>
      <c r="AQ47" s="278"/>
      <c r="AR47" s="278"/>
    </row>
    <row r="48" spans="1:44" ht="14" x14ac:dyDescent="0.15">
      <c r="A48" s="275"/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9"/>
      <c r="T48" s="279"/>
      <c r="U48" s="279"/>
      <c r="V48" s="279"/>
      <c r="W48" s="279"/>
      <c r="X48" s="275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</row>
    <row r="49" spans="1:44" ht="14" x14ac:dyDescent="0.15">
      <c r="A49" s="275"/>
      <c r="B49" s="275"/>
      <c r="C49" s="275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9"/>
      <c r="T49" s="279"/>
      <c r="U49" s="279"/>
      <c r="V49" s="279"/>
      <c r="W49" s="279"/>
      <c r="X49" s="275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8"/>
      <c r="AK49" s="278"/>
      <c r="AL49" s="278"/>
      <c r="AM49" s="278"/>
      <c r="AN49" s="278"/>
      <c r="AO49" s="278"/>
      <c r="AP49" s="278"/>
      <c r="AQ49" s="278"/>
      <c r="AR49" s="278"/>
    </row>
    <row r="50" spans="1:44" ht="14" x14ac:dyDescent="0.15">
      <c r="A50" s="275"/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9"/>
      <c r="T50" s="279"/>
      <c r="U50" s="279"/>
      <c r="V50" s="279"/>
      <c r="W50" s="279"/>
      <c r="X50" s="275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8"/>
    </row>
    <row r="51" spans="1:44" ht="14" x14ac:dyDescent="0.15">
      <c r="A51" s="275"/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9"/>
      <c r="T51" s="279"/>
      <c r="U51" s="279"/>
      <c r="V51" s="279"/>
      <c r="W51" s="279"/>
      <c r="X51" s="275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</row>
    <row r="52" spans="1:44" ht="14" x14ac:dyDescent="0.15">
      <c r="A52" s="275"/>
      <c r="B52" s="275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9"/>
      <c r="T52" s="279"/>
      <c r="U52" s="279"/>
      <c r="V52" s="279"/>
      <c r="W52" s="279"/>
      <c r="X52" s="275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/>
      <c r="AR52" s="278"/>
    </row>
    <row r="53" spans="1:44" ht="14" x14ac:dyDescent="0.15">
      <c r="A53" s="275"/>
      <c r="B53" s="275"/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9"/>
      <c r="T53" s="279"/>
      <c r="U53" s="279"/>
      <c r="V53" s="279"/>
      <c r="W53" s="279"/>
      <c r="X53" s="275"/>
      <c r="Y53" s="278"/>
      <c r="Z53" s="278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</row>
    <row r="54" spans="1:44" ht="14" x14ac:dyDescent="0.15">
      <c r="A54" s="275"/>
      <c r="B54" s="275"/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9"/>
      <c r="T54" s="279"/>
      <c r="U54" s="279"/>
      <c r="V54" s="279"/>
      <c r="W54" s="279"/>
      <c r="X54" s="275"/>
      <c r="Y54" s="278"/>
      <c r="Z54" s="278"/>
      <c r="AA54" s="278"/>
      <c r="AB54" s="278"/>
      <c r="AC54" s="278"/>
      <c r="AD54" s="278"/>
      <c r="AE54" s="278"/>
      <c r="AF54" s="278"/>
      <c r="AG54" s="278"/>
      <c r="AH54" s="278"/>
      <c r="AI54" s="278"/>
      <c r="AJ54" s="278"/>
      <c r="AK54" s="278"/>
      <c r="AL54" s="278"/>
      <c r="AM54" s="278"/>
      <c r="AN54" s="278"/>
      <c r="AO54" s="278"/>
      <c r="AP54" s="278"/>
      <c r="AQ54" s="278"/>
      <c r="AR54" s="278"/>
    </row>
    <row r="55" spans="1:44" ht="14" x14ac:dyDescent="0.15">
      <c r="A55" s="275"/>
      <c r="B55" s="275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9"/>
      <c r="T55" s="279"/>
      <c r="U55" s="279"/>
      <c r="V55" s="279"/>
      <c r="W55" s="279"/>
      <c r="X55" s="275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8"/>
      <c r="AN55" s="278"/>
      <c r="AO55" s="278"/>
      <c r="AP55" s="278"/>
      <c r="AQ55" s="278"/>
      <c r="AR55" s="278"/>
    </row>
    <row r="56" spans="1:44" ht="14" x14ac:dyDescent="0.15">
      <c r="A56" s="275"/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9"/>
      <c r="T56" s="279"/>
      <c r="U56" s="279"/>
      <c r="V56" s="279"/>
      <c r="W56" s="279"/>
      <c r="X56" s="275"/>
      <c r="Y56" s="278"/>
      <c r="Z56" s="278"/>
      <c r="AA56" s="278"/>
      <c r="AB56" s="278"/>
      <c r="AC56" s="278"/>
      <c r="AD56" s="278"/>
      <c r="AE56" s="278"/>
      <c r="AF56" s="278"/>
      <c r="AG56" s="278"/>
      <c r="AH56" s="278"/>
      <c r="AI56" s="278"/>
      <c r="AJ56" s="278"/>
      <c r="AK56" s="278"/>
      <c r="AL56" s="278"/>
      <c r="AM56" s="278"/>
      <c r="AN56" s="278"/>
      <c r="AO56" s="278"/>
      <c r="AP56" s="278"/>
      <c r="AQ56" s="278"/>
      <c r="AR56" s="278"/>
    </row>
    <row r="57" spans="1:44" ht="14" x14ac:dyDescent="0.15">
      <c r="A57" s="275"/>
      <c r="B57" s="275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9"/>
      <c r="T57" s="279"/>
      <c r="U57" s="279"/>
      <c r="V57" s="279"/>
      <c r="W57" s="279"/>
      <c r="X57" s="275"/>
      <c r="Y57" s="278"/>
      <c r="Z57" s="278"/>
      <c r="AA57" s="278"/>
      <c r="AB57" s="278"/>
      <c r="AC57" s="278"/>
      <c r="AD57" s="278"/>
      <c r="AE57" s="278"/>
      <c r="AF57" s="278"/>
      <c r="AG57" s="278"/>
      <c r="AH57" s="278"/>
      <c r="AI57" s="278"/>
      <c r="AJ57" s="278"/>
      <c r="AK57" s="278"/>
      <c r="AL57" s="278"/>
      <c r="AM57" s="278"/>
      <c r="AN57" s="278"/>
      <c r="AO57" s="278"/>
      <c r="AP57" s="278"/>
      <c r="AQ57" s="278"/>
      <c r="AR57" s="278"/>
    </row>
    <row r="58" spans="1:44" ht="14" x14ac:dyDescent="0.15">
      <c r="A58" s="275"/>
      <c r="B58" s="275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9"/>
      <c r="T58" s="279"/>
      <c r="U58" s="279"/>
      <c r="V58" s="279"/>
      <c r="W58" s="279"/>
      <c r="X58" s="275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78"/>
      <c r="AK58" s="278"/>
      <c r="AL58" s="278"/>
      <c r="AM58" s="278"/>
      <c r="AN58" s="278"/>
      <c r="AO58" s="278"/>
      <c r="AP58" s="278"/>
      <c r="AQ58" s="278"/>
      <c r="AR58" s="278"/>
    </row>
    <row r="59" spans="1:44" ht="14" x14ac:dyDescent="0.15">
      <c r="A59" s="275"/>
      <c r="B59" s="275"/>
      <c r="C59" s="275"/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9"/>
      <c r="T59" s="279"/>
      <c r="U59" s="279"/>
      <c r="V59" s="279"/>
      <c r="W59" s="279"/>
      <c r="X59" s="275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278"/>
      <c r="AK59" s="278"/>
      <c r="AL59" s="278"/>
      <c r="AM59" s="278"/>
      <c r="AN59" s="278"/>
      <c r="AO59" s="278"/>
      <c r="AP59" s="278"/>
      <c r="AQ59" s="278"/>
      <c r="AR59" s="278"/>
    </row>
    <row r="60" spans="1:44" ht="14" x14ac:dyDescent="0.15">
      <c r="A60" s="275"/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9"/>
      <c r="T60" s="279"/>
      <c r="U60" s="279"/>
      <c r="V60" s="279"/>
      <c r="W60" s="279"/>
      <c r="X60" s="275"/>
      <c r="Y60" s="278"/>
      <c r="Z60" s="278"/>
      <c r="AA60" s="278"/>
      <c r="AB60" s="278"/>
      <c r="AC60" s="278"/>
      <c r="AD60" s="278"/>
      <c r="AE60" s="278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  <c r="AQ60" s="278"/>
      <c r="AR60" s="278"/>
    </row>
  </sheetData>
  <sheetProtection algorithmName="SHA-512" hashValue="61+gtI8U37lXf1Qzd2ttGbT/NiAqd8jO8NyEqW1jtb46XmlXGg8ICimVDyXHfu8gip1tuKXSCOKzkWgYEW7gGw==" saltValue="wWST4KlQxCLNR85LAAFdrA==" spinCount="100000" sheet="1" objects="1" scenarios="1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65B02-720E-AC42-A8F1-CCB0CD669307}">
  <sheetPr codeName="Sheet19">
    <tabColor theme="7" tint="0.39997558519241921"/>
  </sheetPr>
  <dimension ref="A1:BA76"/>
  <sheetViews>
    <sheetView zoomScaleNormal="100" zoomScalePageLayoutView="120" workbookViewId="0">
      <selection activeCell="AD23" sqref="AD23"/>
    </sheetView>
  </sheetViews>
  <sheetFormatPr baseColWidth="10" defaultRowHeight="14" x14ac:dyDescent="0.15"/>
  <cols>
    <col min="1" max="1" width="20.33203125" style="256" customWidth="1"/>
    <col min="2" max="2" width="14" style="256" bestFit="1" customWidth="1"/>
    <col min="3" max="9" width="12.1640625" style="256" customWidth="1"/>
    <col min="10" max="11" width="12.1640625" style="256" hidden="1" customWidth="1"/>
    <col min="12" max="16" width="12.1640625" style="256" customWidth="1"/>
    <col min="17" max="20" width="12.1640625" style="256" hidden="1" customWidth="1"/>
    <col min="21" max="24" width="12.1640625" style="256" customWidth="1"/>
    <col min="25" max="53" width="7.5" style="256" customWidth="1"/>
    <col min="54" max="16384" width="10.83203125" style="256"/>
  </cols>
  <sheetData>
    <row r="1" spans="1:53" x14ac:dyDescent="0.15">
      <c r="A1" s="256" t="s">
        <v>149</v>
      </c>
    </row>
    <row r="2" spans="1:53" x14ac:dyDescent="0.15">
      <c r="A2" s="257" t="s">
        <v>48</v>
      </c>
    </row>
    <row r="3" spans="1:53" ht="15" thickBot="1" x14ac:dyDescent="0.2">
      <c r="G3" s="258"/>
    </row>
    <row r="4" spans="1:53" x14ac:dyDescent="0.15">
      <c r="A4" s="62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5"/>
    </row>
    <row r="5" spans="1:53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7"/>
    </row>
    <row r="6" spans="1:53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7"/>
    </row>
    <row r="7" spans="1:53" ht="75" x14ac:dyDescent="0.15">
      <c r="A7" s="251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1" t="s">
        <v>84</v>
      </c>
      <c r="G7" s="141" t="s">
        <v>85</v>
      </c>
      <c r="H7" s="141" t="s">
        <v>86</v>
      </c>
      <c r="I7" s="141" t="s">
        <v>87</v>
      </c>
      <c r="J7" s="252" t="s">
        <v>243</v>
      </c>
      <c r="K7" s="253" t="s">
        <v>61</v>
      </c>
      <c r="L7" s="142" t="s">
        <v>246</v>
      </c>
      <c r="M7" s="143" t="s">
        <v>62</v>
      </c>
      <c r="N7" s="143" t="s">
        <v>63</v>
      </c>
      <c r="O7" s="143" t="s">
        <v>64</v>
      </c>
      <c r="P7" s="143" t="s">
        <v>65</v>
      </c>
      <c r="Q7" s="254" t="s">
        <v>244</v>
      </c>
      <c r="R7" s="254" t="s">
        <v>245</v>
      </c>
      <c r="S7" s="255" t="s">
        <v>66</v>
      </c>
      <c r="T7" s="255" t="s">
        <v>67</v>
      </c>
      <c r="U7" s="144" t="s">
        <v>25</v>
      </c>
      <c r="V7" s="144" t="s">
        <v>26</v>
      </c>
      <c r="W7" s="143" t="s">
        <v>68</v>
      </c>
      <c r="X7" s="145" t="s">
        <v>95</v>
      </c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</row>
    <row r="8" spans="1:53" x14ac:dyDescent="0.15">
      <c r="A8" s="182" t="str">
        <f>'TAS Oct 2020'!K2</f>
        <v>Aurora Energy</v>
      </c>
      <c r="B8" s="183" t="str">
        <f>'TAS Oct 2020'!L2</f>
        <v>Regulated</v>
      </c>
      <c r="C8" s="184">
        <f>IF('TAS Oct 2020'!BQ2=0,91*'TAS Oct 2020'!M2/100,(91*'TAS Oct 2020'!M2/100)+'TAS Oct 2020'!BQ2/4)</f>
        <v>84.820272727272709</v>
      </c>
      <c r="D8" s="184">
        <f>IF('TAS Oct 2020'!O2="",$C$5*'TAS Oct 2020'!N2/100,IF($C$5&gt;='TAS Oct 2020'!P2,('TAS Oct 2020'!P2*'TAS Oct 2020'!N2/100),($C$5*'TAS Oct 2020'!N2/100)))</f>
        <v>154.81818181818181</v>
      </c>
      <c r="E8" s="184">
        <f>IF(AND('TAS Oct 2020'!P2&gt;0,'TAS Oct 2020'!R2&gt;0),IF($C$5&lt;'TAS Oct 2020'!P2,0,IF($C$5&lt;=('TAS Oct 2020'!R2+'TAS Oct 2020'!P2),(($C$5-'TAS Oct 2020'!P2)*'TAS Oct 2020'!Q2/100),(('TAS Oct 2020'!R2)*'TAS Oct 2020'!Q2/100))),0)</f>
        <v>0</v>
      </c>
      <c r="F8" s="184">
        <f>IF(AND('TAS Oct 2020'!Q2&gt;0,'TAS Oct 2020'!S2&gt;0),IF($C$5&lt;('TAS Oct 2020'!R2+'TAS Oct 2020'!P2),0,IF($C$5&lt;=('TAS Oct 2020'!T2+'TAS Oct 2020'!R2+'TAS Oct 2020'!P2),(($C$5-('TAS Oct 2020'!R2+'TAS Oct 2020'!P2))*'TAS Oct 2020'!S2/100),('TAS Oct 2020'!T2*'TAS Oct 2020'!S2/100))),0)</f>
        <v>0</v>
      </c>
      <c r="G8" s="185">
        <v>0</v>
      </c>
      <c r="H8" s="184">
        <f>IF(AND('TAS Oct 2020'!R2&gt;0,'TAS Oct 2020'!T2&gt;0),IF(($C$5&lt;'TAS Oct 2020'!T2),(0),($C$5-'TAS Oct 2020'!T2)*'TAS Oct 2020'!U2/100),IF(AND('TAS Oct 2020'!R2&gt;0,'TAS Oct 2020'!T2=""),IF(($C$5&lt;'TAS Oct 2020'!R2+'TAS Oct 2020'!P2),(0),(($C$5-('TAS Oct 2020'!R2+'TAS Oct 2020'!P2))*'TAS Oct 2020'!S2/100)),IF(AND('TAS Oct 2020'!P2&gt;0,'TAS Oct 2020'!R2=""&gt;0),IF(($C$5&lt;'TAS Oct 2020'!P2),(0),($C$5-'TAS Oct 2020'!P2)*'TAS Oct 2020'!Q2/100),0)))</f>
        <v>1030.9090909090908</v>
      </c>
      <c r="I8" s="187">
        <f>SUM(C8:H8)</f>
        <v>1270.5475454545453</v>
      </c>
      <c r="J8" s="187">
        <f>(I8-C8)*4</f>
        <v>4742.9090909090901</v>
      </c>
      <c r="K8" s="187">
        <f>I8*4</f>
        <v>5082.1901818181814</v>
      </c>
      <c r="L8" s="188">
        <f>K8*1.1</f>
        <v>5590.4092000000001</v>
      </c>
      <c r="M8" s="189">
        <f>'TAS Oct 2020'!BC2</f>
        <v>0</v>
      </c>
      <c r="N8" s="189">
        <f>'TAS Oct 2020'!BD2</f>
        <v>0</v>
      </c>
      <c r="O8" s="189">
        <f>'TAS Oct 2020'!BE2</f>
        <v>0</v>
      </c>
      <c r="P8" s="189">
        <f>'TAS Oct 2020'!BF2</f>
        <v>0</v>
      </c>
      <c r="Q8" s="189" t="str">
        <f>IF(SUM(M8:P8)=0,"No discount",IF(M8&gt;0,"Guaranteed off bill",IF(N8&gt;0,"Guaranteed off usage",IF(O8&gt;0,"Pay-on-time off bill","Pay-on-time off usage"))))</f>
        <v>No discount</v>
      </c>
      <c r="R8" s="189" t="str">
        <f t="shared" ref="R8:R9" si="0">IF(OR(A8="Origin Energy",A8="Red Energy",A8="Powershop"),"Inclusive","Exclusive")</f>
        <v>Exclusive</v>
      </c>
      <c r="S8" s="22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5082.1901818181814</v>
      </c>
      <c r="T8" s="22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5082.1901818181814</v>
      </c>
      <c r="U8" s="188">
        <f t="shared" ref="U8:V10" si="1">S8*1.1</f>
        <v>5590.4092000000001</v>
      </c>
      <c r="V8" s="188">
        <f t="shared" si="1"/>
        <v>5590.4092000000001</v>
      </c>
      <c r="W8" s="190" t="str">
        <f>'TAS Oct 2020'!BM2</f>
        <v>n</v>
      </c>
      <c r="X8" s="191">
        <f>'TAS Oct 2020'!BN2</f>
        <v>0</v>
      </c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</row>
    <row r="9" spans="1:53" x14ac:dyDescent="0.15">
      <c r="A9" s="150" t="str">
        <f>'TAS Oct 2020'!K3</f>
        <v>1st Energy</v>
      </c>
      <c r="B9" s="159" t="str">
        <f>'TAS Oct 2020'!L3</f>
        <v>1st Saver</v>
      </c>
      <c r="C9" s="124">
        <f>IF('TAS Oct 2020'!BQ3=0,91*'TAS Oct 2020'!M3/100,(91*'TAS Oct 2020'!M3/100)+'TAS Oct 2020'!BQ3/4)</f>
        <v>84.811999999999983</v>
      </c>
      <c r="D9" s="124">
        <f>IF('TAS Oct 2020'!O3="",$C$5*'TAS Oct 2020'!N3/100,IF($C$5&gt;='TAS Oct 2020'!P3,('TAS Oct 2020'!P3*'TAS Oct 2020'!N3/100),($C$5*'TAS Oct 2020'!N3/100)))</f>
        <v>154.81818181818181</v>
      </c>
      <c r="E9" s="124">
        <f>IF(AND('TAS Oct 2020'!P3&gt;0,'TAS Oct 2020'!R3&gt;0),IF($C$5&lt;'TAS Oct 2020'!P3,0,IF($C$5&lt;=('TAS Oct 2020'!R3+'TAS Oct 2020'!P3),(($C$5-'TAS Oct 2020'!P3)*'TAS Oct 2020'!Q3/100),(('TAS Oct 2020'!R3)*'TAS Oct 2020'!Q3/100))),0)</f>
        <v>0</v>
      </c>
      <c r="F9" s="124">
        <f>IF(AND('TAS Oct 2020'!Q3&gt;0,'TAS Oct 2020'!S3&gt;0),IF($C$5&lt;('TAS Oct 2020'!R3+'TAS Oct 2020'!P3),0,IF($C$5&lt;=('TAS Oct 2020'!T3+'TAS Oct 2020'!R3+'TAS Oct 2020'!P3),(($C$5-('TAS Oct 2020'!R3+'TAS Oct 2020'!P3))*'TAS Oct 2020'!S3/100),('TAS Oct 2020'!T3*'TAS Oct 2020'!S3/100))),0)</f>
        <v>0</v>
      </c>
      <c r="G9" s="126">
        <v>0</v>
      </c>
      <c r="H9" s="124">
        <f>IF(AND('TAS Oct 2020'!R3&gt;0,'TAS Oct 2020'!T3&gt;0),IF(($C$5&lt;'TAS Oct 2020'!T3),(0),($C$5-'TAS Oct 2020'!T3)*'TAS Oct 2020'!U3/100),IF(AND('TAS Oct 2020'!R3&gt;0,'TAS Oct 2020'!T3=""),IF(($C$5&lt;'TAS Oct 2020'!R3+'TAS Oct 2020'!P3),(0),(($C$5-('TAS Oct 2020'!R3+'TAS Oct 2020'!P3))*'TAS Oct 2020'!S3/100)),IF(AND('TAS Oct 2020'!P3&gt;0,'TAS Oct 2020'!R3=""&gt;0),IF(($C$5&lt;'TAS Oct 2020'!P3),(0),($C$5-'TAS Oct 2020'!P3)*'TAS Oct 2020'!Q3/100),0)))</f>
        <v>1030.5</v>
      </c>
      <c r="I9" s="128">
        <f>SUM(C9:H9)</f>
        <v>1270.1301818181819</v>
      </c>
      <c r="J9" s="128">
        <f>(I9-C9)*4</f>
        <v>4741.2727272727279</v>
      </c>
      <c r="K9" s="128">
        <f>I9*4</f>
        <v>5080.5207272727275</v>
      </c>
      <c r="L9" s="129">
        <f>K9*1.1</f>
        <v>5588.5728000000008</v>
      </c>
      <c r="M9" s="123">
        <f>'TAS Oct 2020'!BC3</f>
        <v>0</v>
      </c>
      <c r="N9" s="123">
        <f>'TAS Oct 2020'!BD3</f>
        <v>0</v>
      </c>
      <c r="O9" s="123">
        <f>'TAS Oct 2020'!BE3</f>
        <v>5</v>
      </c>
      <c r="P9" s="123">
        <f>'TAS Oct 2020'!BF3</f>
        <v>0</v>
      </c>
      <c r="Q9" s="123" t="str">
        <f>IF(SUM(M9:P9)=0,"No discount",IF(M9&gt;0,"Guaranteed off bill",IF(N9&gt;0,"Guaranteed off usage",IF(O9&gt;0,"Pay-on-time off bill","Pay-on-time off usage"))))</f>
        <v>Pay-on-time off bill</v>
      </c>
      <c r="R9" s="123" t="str">
        <f t="shared" si="0"/>
        <v>Exclusive</v>
      </c>
      <c r="S9" s="272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5080.5207272727275</v>
      </c>
      <c r="T9" s="273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4826.4946909090913</v>
      </c>
      <c r="U9" s="129">
        <f t="shared" si="1"/>
        <v>5588.5728000000008</v>
      </c>
      <c r="V9" s="129">
        <f t="shared" si="1"/>
        <v>5309.1441600000007</v>
      </c>
      <c r="W9" s="151">
        <f>'TAS Oct 2020'!BM3</f>
        <v>0</v>
      </c>
      <c r="X9" s="152">
        <f>'TAS Oct 2020'!BN3</f>
        <v>12</v>
      </c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</row>
    <row r="10" spans="1:53" ht="15" thickBot="1" x14ac:dyDescent="0.2">
      <c r="A10" s="153" t="str">
        <f>'TAS Oct 2020'!K4</f>
        <v>Future X Power</v>
      </c>
      <c r="B10" s="160" t="str">
        <f>'TAS Oct 2020'!L4</f>
        <v>Business Smart</v>
      </c>
      <c r="C10" s="133">
        <f>IF('TAS Oct 2020'!BQ4=0,91*'TAS Oct 2020'!M4/100,(91*'TAS Oct 2020'!M4/100)+'TAS Oct 2020'!BQ4/4)</f>
        <v>85.995000000000005</v>
      </c>
      <c r="D10" s="133">
        <f>IF('TAS Oct 2020'!O4="",$C$5*'TAS Oct 2020'!N4/100,IF($C$5&gt;='TAS Oct 2020'!P4,('TAS Oct 2020'!P4*'TAS Oct 2020'!N4/100),($C$5*'TAS Oct 2020'!N4/100)))</f>
        <v>156.99999999999997</v>
      </c>
      <c r="E10" s="133">
        <f>IF(AND('TAS Oct 2020'!P4&gt;0,'TAS Oct 2020'!R4&gt;0),IF($C$5&lt;'TAS Oct 2020'!P4,0,IF($C$5&lt;=('TAS Oct 2020'!R4+'TAS Oct 2020'!P4),(($C$5-'TAS Oct 2020'!P4)*'TAS Oct 2020'!Q4/100),(('TAS Oct 2020'!R4)*'TAS Oct 2020'!Q4/100))),0)</f>
        <v>0</v>
      </c>
      <c r="F10" s="133">
        <f>IF(AND('TAS Oct 2020'!Q4&gt;0,'TAS Oct 2020'!S4&gt;0),IF($C$5&lt;('TAS Oct 2020'!R4+'TAS Oct 2020'!P4),0,IF($C$5&lt;=('TAS Oct 2020'!T4+'TAS Oct 2020'!R4+'TAS Oct 2020'!P4),(($C$5-('TAS Oct 2020'!R4+'TAS Oct 2020'!P4))*'TAS Oct 2020'!S4/100),('TAS Oct 2020'!T4*'TAS Oct 2020'!S4/100))),0)</f>
        <v>0</v>
      </c>
      <c r="G10" s="135">
        <v>1</v>
      </c>
      <c r="H10" s="133">
        <f>IF(AND('TAS Oct 2020'!R4&gt;0,'TAS Oct 2020'!T4&gt;0),IF(($C$5&lt;'TAS Oct 2020'!T4),(0),($C$5-'TAS Oct 2020'!T4)*'TAS Oct 2020'!U4/100),IF(AND('TAS Oct 2020'!R4&gt;0,'TAS Oct 2020'!T4=""),IF(($C$5&lt;'TAS Oct 2020'!R4+'TAS Oct 2020'!P4),(0),(($C$5-('TAS Oct 2020'!R4+'TAS Oct 2020'!P4))*'TAS Oct 2020'!S4/100)),IF(AND('TAS Oct 2020'!P4&gt;0,'TAS Oct 2020'!R4=""&gt;0),IF(($C$5&lt;'TAS Oct 2020'!P4),(0),($C$5-'TAS Oct 2020'!P4)*'TAS Oct 2020'!Q4/100),0)))</f>
        <v>1044</v>
      </c>
      <c r="I10" s="137">
        <f>SUM(C10:H10)</f>
        <v>1287.9949999999999</v>
      </c>
      <c r="J10" s="137">
        <f>(I10-C10)*4</f>
        <v>4808</v>
      </c>
      <c r="K10" s="137">
        <f>I10*4</f>
        <v>5151.9799999999996</v>
      </c>
      <c r="L10" s="138">
        <f>K10*1.1</f>
        <v>5667.1779999999999</v>
      </c>
      <c r="M10" s="132">
        <f>'TAS Oct 2020'!BC4</f>
        <v>0</v>
      </c>
      <c r="N10" s="132">
        <f>'TAS Oct 2020'!BD4</f>
        <v>3</v>
      </c>
      <c r="O10" s="132">
        <f>'TAS Oct 2020'!BE4</f>
        <v>0</v>
      </c>
      <c r="P10" s="132">
        <f>'TAS Oct 2020'!BF4</f>
        <v>0</v>
      </c>
      <c r="Q10" s="132" t="str">
        <f>IF(SUM(M10:P10)=0,"No discount",IF(M10&gt;0,"Guaranteed off bill",IF(N10&gt;0,"Guaranteed off usage",IF(O10&gt;0,"Pay-on-time off bill","Pay-on-time off usage"))))</f>
        <v>Guaranteed off usage</v>
      </c>
      <c r="R10" s="132" t="str">
        <f t="shared" ref="R10" si="2">IF(OR(A10="Origin Energy",A10="Red Energy",A10="Powershop"),"Inclusive","Exclusive")</f>
        <v>Exclusive</v>
      </c>
      <c r="S10" s="221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5007.74</v>
      </c>
      <c r="T10" s="222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5007.74</v>
      </c>
      <c r="U10" s="138">
        <f t="shared" si="1"/>
        <v>5508.5140000000001</v>
      </c>
      <c r="V10" s="138">
        <f t="shared" si="1"/>
        <v>5508.5140000000001</v>
      </c>
      <c r="W10" s="154" t="str">
        <f>'TAS Oct 2020'!BM4</f>
        <v>n</v>
      </c>
      <c r="X10" s="155">
        <f>'TAS Oct 2020'!BN4</f>
        <v>0</v>
      </c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</row>
    <row r="11" spans="1:53" x14ac:dyDescent="0.15"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</row>
    <row r="12" spans="1:53" ht="15" thickBot="1" x14ac:dyDescent="0.2"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</row>
    <row r="13" spans="1:53" x14ac:dyDescent="0.15">
      <c r="A13" s="62" t="s">
        <v>96</v>
      </c>
      <c r="B13" s="63"/>
      <c r="C13" s="63"/>
      <c r="D13" s="79"/>
      <c r="E13" s="79"/>
      <c r="F13" s="79"/>
      <c r="G13" s="79"/>
      <c r="H13" s="79"/>
      <c r="I13" s="80"/>
      <c r="J13" s="80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5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</row>
    <row r="14" spans="1:53" x14ac:dyDescent="0.15">
      <c r="A14" s="66" t="s">
        <v>79</v>
      </c>
      <c r="B14" s="64"/>
      <c r="C14" s="85">
        <v>5000</v>
      </c>
      <c r="D14" s="81"/>
      <c r="E14" s="81"/>
      <c r="F14" s="81"/>
      <c r="G14" s="81"/>
      <c r="H14" s="81"/>
      <c r="I14" s="82"/>
      <c r="J14" s="82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7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</row>
    <row r="15" spans="1:53" x14ac:dyDescent="0.15">
      <c r="A15" s="66" t="s">
        <v>97</v>
      </c>
      <c r="B15" s="64"/>
      <c r="C15" s="86">
        <v>0.7</v>
      </c>
      <c r="D15" s="81"/>
      <c r="E15" s="81"/>
      <c r="F15" s="81"/>
      <c r="G15" s="81"/>
      <c r="H15" s="81"/>
      <c r="I15" s="82"/>
      <c r="J15" s="82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7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</row>
    <row r="16" spans="1:53" x14ac:dyDescent="0.15">
      <c r="A16" s="66" t="s">
        <v>148</v>
      </c>
      <c r="B16" s="64"/>
      <c r="C16" s="86">
        <v>0.3</v>
      </c>
      <c r="D16" s="81"/>
      <c r="E16" s="81"/>
      <c r="F16" s="81"/>
      <c r="G16" s="81"/>
      <c r="H16" s="81"/>
      <c r="I16" s="82"/>
      <c r="J16" s="8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7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</row>
    <row r="17" spans="1:53" x14ac:dyDescent="0.15">
      <c r="A17" s="66"/>
      <c r="B17" s="64"/>
      <c r="C17" s="81"/>
      <c r="D17" s="81"/>
      <c r="E17" s="81"/>
      <c r="F17" s="81"/>
      <c r="G17" s="81"/>
      <c r="H17" s="81"/>
      <c r="I17" s="82"/>
      <c r="J17" s="82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7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</row>
    <row r="18" spans="1:53" ht="75" x14ac:dyDescent="0.15">
      <c r="A18" s="251" t="s">
        <v>73</v>
      </c>
      <c r="B18" s="147" t="s">
        <v>80</v>
      </c>
      <c r="C18" s="141" t="s">
        <v>81</v>
      </c>
      <c r="D18" s="141" t="s">
        <v>82</v>
      </c>
      <c r="E18" s="141" t="s">
        <v>83</v>
      </c>
      <c r="F18" s="141" t="s">
        <v>84</v>
      </c>
      <c r="G18" s="141" t="s">
        <v>86</v>
      </c>
      <c r="H18" s="141" t="s">
        <v>96</v>
      </c>
      <c r="I18" s="141" t="s">
        <v>87</v>
      </c>
      <c r="J18" s="252" t="s">
        <v>243</v>
      </c>
      <c r="K18" s="253" t="s">
        <v>61</v>
      </c>
      <c r="L18" s="142" t="s">
        <v>246</v>
      </c>
      <c r="M18" s="143" t="s">
        <v>62</v>
      </c>
      <c r="N18" s="143" t="s">
        <v>63</v>
      </c>
      <c r="O18" s="143" t="s">
        <v>64</v>
      </c>
      <c r="P18" s="143" t="s">
        <v>65</v>
      </c>
      <c r="Q18" s="254" t="s">
        <v>244</v>
      </c>
      <c r="R18" s="254" t="s">
        <v>245</v>
      </c>
      <c r="S18" s="255" t="s">
        <v>66</v>
      </c>
      <c r="T18" s="255" t="s">
        <v>67</v>
      </c>
      <c r="U18" s="144" t="s">
        <v>25</v>
      </c>
      <c r="V18" s="144" t="s">
        <v>26</v>
      </c>
      <c r="W18" s="143" t="s">
        <v>68</v>
      </c>
      <c r="X18" s="145" t="s">
        <v>95</v>
      </c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</row>
    <row r="19" spans="1:53" x14ac:dyDescent="0.15">
      <c r="A19" s="182" t="str">
        <f>'TAS Oct 2020'!K5</f>
        <v>Aurora Energy</v>
      </c>
      <c r="B19" s="183" t="str">
        <f>'TAS Oct 2020'!L5</f>
        <v>Regulated</v>
      </c>
      <c r="C19" s="184">
        <f>IF('TAS Oct 2020'!BQ5=0,91*'TAS Oct 2020'!M5/100,(91*'TAS Oct 2020'!M5/100)+'TAS Oct 2020'!BQ5/4)</f>
        <v>103.22709090909089</v>
      </c>
      <c r="D19" s="184">
        <f>IF('TAS Oct 2020'!O5="",$C$14*$C$15*'TAS Oct 2020'!N5/100,IF($C$14*$C$15&gt;='TAS Oct 2020'!P5,('TAS Oct 2020'!P5*'TAS Oct 2020'!N5/100),($C$14*$C$15*'TAS Oct 2020'!N5/100)))</f>
        <v>154.81818181818181</v>
      </c>
      <c r="E19" s="184">
        <f>IF(AND('TAS Oct 2020'!P5&gt;0,'TAS Oct 2020'!R5&gt;0),IF($C$14*$C$15&lt;'TAS Oct 2020'!P5,0,IF($C$14*$C$15&lt;=('TAS Oct 2020'!R5+'TAS Oct 2020'!P5),(($C$14*$C$15-'TAS Oct 2020'!P5)*'TAS Oct 2020'!Q5/100),(('TAS Oct 2020'!R5)*'TAS Oct 2020'!Q5/100))),0)</f>
        <v>0</v>
      </c>
      <c r="F19" s="184">
        <f>IF(AND('TAS Oct 2020'!Q2&gt;0,'TAS Oct 2020'!S2&gt;0),IF($C$14*$C$15&lt;('TAS Oct 2020'!R2+'TAS Oct 2020'!P2),0,IF($C$14*$C$15&lt;=('TAS Oct 2020'!T2+'TAS Oct 2020'!R2+'TAS Oct 2020'!P2),(($C$14*$C$15-('TAS Oct 2020'!R2+'TAS Oct 2020'!P2))*'TAS Oct 2020'!S2/100),('TAS Oct 2020'!T2*'TAS Oct 2020'!S2/100))),0)</f>
        <v>0</v>
      </c>
      <c r="G19" s="184">
        <f>IF(AND('TAS Oct 2020'!R5&gt;0,'TAS Oct 2020'!T5&gt;0),IF(($C$14*$C$15&lt;'TAS Oct 2020'!T5),(0),($C$14*$C$15-'TAS Oct 2020'!T5)*'TAS Oct 2020'!U5/100),IF(AND('TAS Oct 2020'!R5&gt;0,'TAS Oct 2020'!T5=""),IF(($C$14*$C$15&lt;'TAS Oct 2020'!R5+'TAS Oct 2020'!P5),(0),(($C$14*$C$15-('TAS Oct 2020'!R5+'TAS Oct 2020'!P5))*'TAS Oct 2020'!S5/100)),IF(AND('TAS Oct 2020'!P5&gt;0,'TAS Oct 2020'!R5=""&gt;0),IF(($C$14*$C$15&lt;'TAS Oct 2020'!P5),(0),($C$14*$C$15-'TAS Oct 2020'!P5)*'TAS Oct 2020'!Q5/100),0)))</f>
        <v>687.27272727272725</v>
      </c>
      <c r="H19" s="186">
        <f>($C$14*$C$16)*'TAS Oct 2020'!AF5/100</f>
        <v>192.27272727272725</v>
      </c>
      <c r="I19" s="187">
        <f>SUM(C19:H19)</f>
        <v>1137.5907272727272</v>
      </c>
      <c r="J19" s="187">
        <f>(I19-C19)*4</f>
        <v>4137.454545454545</v>
      </c>
      <c r="K19" s="187">
        <f>I19*4</f>
        <v>4550.3629090909089</v>
      </c>
      <c r="L19" s="188">
        <f>K19*1.1</f>
        <v>5005.3991999999998</v>
      </c>
      <c r="M19" s="189">
        <f>'TAS Oct 2020'!BC5</f>
        <v>0</v>
      </c>
      <c r="N19" s="189">
        <f>'TAS Oct 2020'!BD5</f>
        <v>0</v>
      </c>
      <c r="O19" s="189">
        <f>'TAS Oct 2020'!BE5</f>
        <v>0</v>
      </c>
      <c r="P19" s="189">
        <f>'TAS Oct 2020'!BF5</f>
        <v>0</v>
      </c>
      <c r="Q19" s="189" t="str">
        <f>IF(SUM(M19:P19)=0,"No discount",IF(M19&gt;0,"Guaranteed off bill",IF(N19&gt;0,"Guaranteed off usage",IF(O19&gt;0,"Pay-on-time off bill","Pay-on-time off usage"))))</f>
        <v>No discount</v>
      </c>
      <c r="R19" s="189" t="str">
        <f t="shared" ref="R19:R20" si="3">IF(OR(A19="Origin Energy",A19="Red Energy",A19="Powershop"),"Inclusive","Exclusive")</f>
        <v>Exclusive</v>
      </c>
      <c r="S19" s="220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4550.3629090909089</v>
      </c>
      <c r="T19" s="220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4550.3629090909089</v>
      </c>
      <c r="U19" s="188">
        <f t="shared" ref="U19:U20" si="4">IF(R19="Exclusive",S19*1.1,S19)</f>
        <v>5005.3991999999998</v>
      </c>
      <c r="V19" s="188">
        <f t="shared" ref="V19:V20" si="5">IF(R19="Exclusive",T19*1.1,T19)</f>
        <v>5005.3991999999998</v>
      </c>
      <c r="W19" s="190" t="str">
        <f>'TAS Oct 2020'!BM5</f>
        <v>n</v>
      </c>
      <c r="X19" s="191">
        <f>'TAS Oct 2020'!BN5</f>
        <v>0</v>
      </c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59"/>
      <c r="AX19" s="259"/>
      <c r="AY19" s="259"/>
      <c r="AZ19" s="259"/>
      <c r="BA19" s="259"/>
    </row>
    <row r="20" spans="1:53" x14ac:dyDescent="0.15">
      <c r="A20" s="150" t="str">
        <f>'TAS Oct 2020'!K6</f>
        <v>1st Energy</v>
      </c>
      <c r="B20" s="159" t="str">
        <f>'TAS Oct 2020'!L6</f>
        <v>1st Saver</v>
      </c>
      <c r="C20" s="124">
        <f>IF('TAS Oct 2020'!BQ6=0,91*'TAS Oct 2020'!M6/100,(91*'TAS Oct 2020'!M6/100)+'TAS Oct 2020'!BQ6/4)</f>
        <v>100.01727272727273</v>
      </c>
      <c r="D20" s="124">
        <f>IF('TAS Oct 2020'!O6="",$C$14*$C$15*'TAS Oct 2020'!N6/100,IF($C$14*$C$15&gt;='TAS Oct 2020'!P6,('TAS Oct 2020'!P6*'TAS Oct 2020'!N6/100),($C$14*$C$15*'TAS Oct 2020'!N6/100)))</f>
        <v>154.81818181818181</v>
      </c>
      <c r="E20" s="124">
        <f>IF(AND('TAS Oct 2020'!P6&gt;0,'TAS Oct 2020'!R6&gt;0),IF($C$14*$C$15&lt;'TAS Oct 2020'!P6,0,IF($C$14*$C$15&lt;=('TAS Oct 2020'!R6+'TAS Oct 2020'!P6),(($C$14*$C$15-'TAS Oct 2020'!P6)*'TAS Oct 2020'!Q6/100),(('TAS Oct 2020'!R6)*'TAS Oct 2020'!Q6/100))),0)</f>
        <v>0</v>
      </c>
      <c r="F20" s="124">
        <f>IF(AND('TAS Oct 2020'!Q3&gt;0,'TAS Oct 2020'!S3&gt;0),IF($C$14*$C$15&lt;('TAS Oct 2020'!R3+'TAS Oct 2020'!P3),0,IF($C$14*$C$15&lt;=('TAS Oct 2020'!T3+'TAS Oct 2020'!R3+'TAS Oct 2020'!P3),(($C$14*$C$15-('TAS Oct 2020'!R3+'TAS Oct 2020'!P3))*'TAS Oct 2020'!S3/100),('TAS Oct 2020'!T3*'TAS Oct 2020'!S3/100))),0)</f>
        <v>0</v>
      </c>
      <c r="G20" s="124">
        <f>IF(AND('TAS Oct 2020'!R6&gt;0,'TAS Oct 2020'!T6&gt;0),IF(($C$14*$C$15&lt;'TAS Oct 2020'!T6),(0),($C$14*$C$15-'TAS Oct 2020'!T6)*'TAS Oct 2020'!U6/100),IF(AND('TAS Oct 2020'!R6&gt;0,'TAS Oct 2020'!T6=""),IF(($C$14*$C$15&lt;'TAS Oct 2020'!R6+'TAS Oct 2020'!P6),(0),(($C$14*$C$15-('TAS Oct 2020'!R6+'TAS Oct 2020'!P6))*'TAS Oct 2020'!S6/100)),IF(AND('TAS Oct 2020'!P6&gt;0,'TAS Oct 2020'!R6=""&gt;0),IF(($C$14*$C$15&lt;'TAS Oct 2020'!P6),(0),($C$14*$C$15-'TAS Oct 2020'!P6)*'TAS Oct 2020'!Q6/100),0)))</f>
        <v>687</v>
      </c>
      <c r="H20" s="127">
        <f>($C$14*$C$16)*'TAS Oct 2020'!AF6/100</f>
        <v>219.95454545454544</v>
      </c>
      <c r="I20" s="128">
        <f>SUM(C20:H20)</f>
        <v>1161.79</v>
      </c>
      <c r="J20" s="128">
        <f>(I20-C20)*4</f>
        <v>4247.090909090909</v>
      </c>
      <c r="K20" s="128">
        <f>I20*4</f>
        <v>4647.16</v>
      </c>
      <c r="L20" s="129">
        <f>K20*1.1</f>
        <v>5111.8760000000002</v>
      </c>
      <c r="M20" s="123">
        <f>'TAS Oct 2020'!BC6</f>
        <v>0</v>
      </c>
      <c r="N20" s="123">
        <f>'TAS Oct 2020'!BD6</f>
        <v>0</v>
      </c>
      <c r="O20" s="123">
        <f>'TAS Oct 2020'!BE6</f>
        <v>5</v>
      </c>
      <c r="P20" s="123">
        <f>'TAS Oct 2020'!BF6</f>
        <v>0</v>
      </c>
      <c r="Q20" s="123" t="str">
        <f>IF(SUM(M20:P20)=0,"No discount",IF(M20&gt;0,"Guaranteed off bill",IF(N20&gt;0,"Guaranteed off usage",IF(O20&gt;0,"Pay-on-time off bill","Pay-on-time off usage"))))</f>
        <v>Pay-on-time off bill</v>
      </c>
      <c r="R20" s="123" t="str">
        <f t="shared" si="3"/>
        <v>Exclusive</v>
      </c>
      <c r="S20" s="272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4647.16</v>
      </c>
      <c r="T20" s="273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4414.8019999999997</v>
      </c>
      <c r="U20" s="129">
        <f t="shared" si="4"/>
        <v>5111.8760000000002</v>
      </c>
      <c r="V20" s="129">
        <f t="shared" si="5"/>
        <v>4856.2821999999996</v>
      </c>
      <c r="W20" s="151">
        <f>'TAS Oct 2020'!BM6</f>
        <v>0</v>
      </c>
      <c r="X20" s="152">
        <f>'TAS Oct 2020'!BN6</f>
        <v>12</v>
      </c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</row>
    <row r="21" spans="1:53" ht="15" thickBot="1" x14ac:dyDescent="0.2">
      <c r="A21" s="153" t="str">
        <f>'TAS Oct 2020'!K7</f>
        <v>Future X Power</v>
      </c>
      <c r="B21" s="160" t="str">
        <f>'TAS Oct 2020'!L7</f>
        <v>Business Smart</v>
      </c>
      <c r="C21" s="133">
        <f>IF('TAS Oct 2020'!BQ7=0,91*'TAS Oct 2020'!M7/100,(91*'TAS Oct 2020'!M7/100)+'TAS Oct 2020'!BQ7/4)</f>
        <v>93.092999999999989</v>
      </c>
      <c r="D21" s="133">
        <f>IF('TAS Oct 2020'!O7="",$C$14*$C$15*'TAS Oct 2020'!N7/100,IF($C$14*$C$15&gt;='TAS Oct 2020'!P7,('TAS Oct 2020'!P7*'TAS Oct 2020'!N7/100),($C$14*$C$15*'TAS Oct 2020'!N7/100)))</f>
        <v>156.99999999999997</v>
      </c>
      <c r="E21" s="133">
        <f>IF(AND('TAS Oct 2020'!P7&gt;0,'TAS Oct 2020'!R7&gt;0),IF($C$14*$C$15&lt;'TAS Oct 2020'!P7,0,IF($C$14*$C$15&lt;=('TAS Oct 2020'!R7+'TAS Oct 2020'!P7),(($C$14*$C$15-'TAS Oct 2020'!P7)*'TAS Oct 2020'!Q7/100),(('TAS Oct 2020'!R7)*'TAS Oct 2020'!Q7/100))),0)</f>
        <v>0</v>
      </c>
      <c r="F21" s="133">
        <f>IF(AND('TAS Oct 2020'!Q4&gt;0,'TAS Oct 2020'!S4&gt;0),IF($C$14*$C$15&lt;('TAS Oct 2020'!R4+'TAS Oct 2020'!P4),0,IF($C$14*$C$15&lt;=('TAS Oct 2020'!T4+'TAS Oct 2020'!R4+'TAS Oct 2020'!P4),(($C$14*$C$15-('TAS Oct 2020'!R4+'TAS Oct 2020'!P4))*'TAS Oct 2020'!S4/100),('TAS Oct 2020'!T4*'TAS Oct 2020'!S4/100))),0)</f>
        <v>0</v>
      </c>
      <c r="G21" s="133">
        <f>IF(AND('TAS Oct 2020'!R7&gt;0,'TAS Oct 2020'!T7&gt;0),IF(($C$14*$C$15&lt;'TAS Oct 2020'!T7),(0),($C$14*$C$15-'TAS Oct 2020'!T7)*'TAS Oct 2020'!U7/100),IF(AND('TAS Oct 2020'!R7&gt;0,'TAS Oct 2020'!T7=""),IF(($C$14*$C$15&lt;'TAS Oct 2020'!R7+'TAS Oct 2020'!P7),(0),(($C$14*$C$15-('TAS Oct 2020'!R7+'TAS Oct 2020'!P7))*'TAS Oct 2020'!S7/100)),IF(AND('TAS Oct 2020'!P7&gt;0,'TAS Oct 2020'!R7=""&gt;0),IF(($C$14*$C$15&lt;'TAS Oct 2020'!P7),(0),($C$14*$C$15-'TAS Oct 2020'!P7)*'TAS Oct 2020'!Q7/100),0)))</f>
        <v>696</v>
      </c>
      <c r="H21" s="136">
        <f>($C$14*$C$16)*'TAS Oct 2020'!AF7/100</f>
        <v>223.49999999999997</v>
      </c>
      <c r="I21" s="137">
        <f>SUM(C21:H21)</f>
        <v>1169.5929999999998</v>
      </c>
      <c r="J21" s="137">
        <f>(I21-C21)*4</f>
        <v>4305.9999999999991</v>
      </c>
      <c r="K21" s="137">
        <f>I21*4</f>
        <v>4678.3719999999994</v>
      </c>
      <c r="L21" s="138">
        <f>K21*1.1</f>
        <v>5146.2091999999993</v>
      </c>
      <c r="M21" s="132">
        <f>'TAS Oct 2020'!BC7</f>
        <v>0</v>
      </c>
      <c r="N21" s="132">
        <f>'TAS Oct 2020'!BD7</f>
        <v>3</v>
      </c>
      <c r="O21" s="132">
        <f>'TAS Oct 2020'!BE7</f>
        <v>0</v>
      </c>
      <c r="P21" s="132">
        <f>'TAS Oct 2020'!BF7</f>
        <v>0</v>
      </c>
      <c r="Q21" s="132" t="str">
        <f>IF(SUM(M21:P21)=0,"No discount",IF(M21&gt;0,"Guaranteed off bill",IF(N21&gt;0,"Guaranteed off usage",IF(O21&gt;0,"Pay-on-time off bill","Pay-on-time off usage"))))</f>
        <v>Guaranteed off usage</v>
      </c>
      <c r="R21" s="132" t="str">
        <f t="shared" ref="R21" si="6">IF(OR(A21="Origin Energy",A21="Red Energy",A21="Powershop"),"Inclusive","Exclusive")</f>
        <v>Exclusive</v>
      </c>
      <c r="S21" s="221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4549.1919999999991</v>
      </c>
      <c r="T21" s="222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4549.1919999999991</v>
      </c>
      <c r="U21" s="138">
        <f t="shared" ref="U21" si="7">IF(R21="Exclusive",S21*1.1,S21)</f>
        <v>5004.1111999999994</v>
      </c>
      <c r="V21" s="138">
        <f t="shared" ref="V21" si="8">IF(R21="Exclusive",T21*1.1,T21)</f>
        <v>5004.1111999999994</v>
      </c>
      <c r="W21" s="154" t="str">
        <f>'TAS Oct 2020'!BM7</f>
        <v>n</v>
      </c>
      <c r="X21" s="155">
        <f>'TAS Oct 2020'!BN7</f>
        <v>0</v>
      </c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259"/>
      <c r="BA21" s="259"/>
    </row>
    <row r="22" spans="1:53" x14ac:dyDescent="0.15"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259"/>
      <c r="BA22" s="259"/>
    </row>
    <row r="23" spans="1:53" ht="15" thickBot="1" x14ac:dyDescent="0.2">
      <c r="S23" s="258"/>
      <c r="U23" s="258"/>
      <c r="V23" s="258"/>
      <c r="W23" s="258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</row>
    <row r="24" spans="1:53" x14ac:dyDescent="0.15">
      <c r="A24" s="62" t="s">
        <v>33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5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</row>
    <row r="25" spans="1:53" x14ac:dyDescent="0.15">
      <c r="A25" s="66" t="s">
        <v>22</v>
      </c>
      <c r="B25" s="64"/>
      <c r="C25" s="85">
        <v>5000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7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259"/>
      <c r="BA25" s="259"/>
    </row>
    <row r="26" spans="1:53" x14ac:dyDescent="0.15">
      <c r="A26" s="66" t="s">
        <v>23</v>
      </c>
      <c r="B26" s="64"/>
      <c r="C26" s="86">
        <v>0.3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7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9"/>
      <c r="AS26" s="259"/>
      <c r="AT26" s="259"/>
      <c r="AU26" s="259"/>
      <c r="AV26" s="259"/>
      <c r="AW26" s="259"/>
      <c r="AX26" s="259"/>
      <c r="AY26" s="259"/>
      <c r="AZ26" s="259"/>
      <c r="BA26" s="259"/>
    </row>
    <row r="27" spans="1:53" x14ac:dyDescent="0.15">
      <c r="A27" s="66" t="s">
        <v>24</v>
      </c>
      <c r="B27" s="64"/>
      <c r="C27" s="86">
        <v>0.4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7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259"/>
      <c r="AQ27" s="259"/>
      <c r="AR27" s="259"/>
      <c r="AS27" s="259"/>
      <c r="AT27" s="259"/>
      <c r="AU27" s="259"/>
      <c r="AV27" s="259"/>
      <c r="AW27" s="259"/>
      <c r="AX27" s="259"/>
      <c r="AY27" s="259"/>
      <c r="AZ27" s="259"/>
      <c r="BA27" s="259"/>
    </row>
    <row r="28" spans="1:53" x14ac:dyDescent="0.15">
      <c r="A28" s="66" t="s">
        <v>21</v>
      </c>
      <c r="B28" s="64"/>
      <c r="C28" s="86">
        <v>0.3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7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259"/>
      <c r="AR28" s="259"/>
      <c r="AS28" s="259"/>
      <c r="AT28" s="259"/>
      <c r="AU28" s="259"/>
      <c r="AV28" s="259"/>
      <c r="AW28" s="259"/>
      <c r="AX28" s="259"/>
      <c r="AY28" s="259"/>
      <c r="AZ28" s="259"/>
      <c r="BA28" s="259"/>
    </row>
    <row r="29" spans="1:53" x14ac:dyDescent="0.15">
      <c r="A29" s="66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7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59"/>
      <c r="AR29" s="259"/>
      <c r="AS29" s="259"/>
      <c r="AT29" s="259"/>
      <c r="AU29" s="259"/>
      <c r="AV29" s="259"/>
      <c r="AW29" s="259"/>
      <c r="AX29" s="259"/>
      <c r="AY29" s="259"/>
      <c r="AZ29" s="259"/>
      <c r="BA29" s="259"/>
    </row>
    <row r="30" spans="1:53" ht="75" x14ac:dyDescent="0.15">
      <c r="A30" s="251" t="s">
        <v>35</v>
      </c>
      <c r="B30" s="147" t="s">
        <v>36</v>
      </c>
      <c r="C30" s="141" t="s">
        <v>27</v>
      </c>
      <c r="D30" s="141" t="s">
        <v>153</v>
      </c>
      <c r="E30" s="141" t="s">
        <v>83</v>
      </c>
      <c r="F30" s="141" t="s">
        <v>154</v>
      </c>
      <c r="G30" s="141" t="s">
        <v>155</v>
      </c>
      <c r="H30" s="141" t="s">
        <v>156</v>
      </c>
      <c r="I30" s="141" t="s">
        <v>87</v>
      </c>
      <c r="J30" s="252" t="s">
        <v>243</v>
      </c>
      <c r="K30" s="253" t="s">
        <v>157</v>
      </c>
      <c r="L30" s="142" t="s">
        <v>246</v>
      </c>
      <c r="M30" s="143" t="s">
        <v>94</v>
      </c>
      <c r="N30" s="143" t="s">
        <v>123</v>
      </c>
      <c r="O30" s="143" t="s">
        <v>124</v>
      </c>
      <c r="P30" s="143" t="s">
        <v>125</v>
      </c>
      <c r="Q30" s="254" t="s">
        <v>244</v>
      </c>
      <c r="R30" s="254" t="s">
        <v>245</v>
      </c>
      <c r="S30" s="255" t="s">
        <v>66</v>
      </c>
      <c r="T30" s="255" t="s">
        <v>67</v>
      </c>
      <c r="U30" s="144" t="s">
        <v>25</v>
      </c>
      <c r="V30" s="144" t="s">
        <v>26</v>
      </c>
      <c r="W30" s="143" t="s">
        <v>55</v>
      </c>
      <c r="X30" s="145" t="s">
        <v>160</v>
      </c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259"/>
      <c r="AQ30" s="259"/>
      <c r="AR30" s="259"/>
      <c r="AS30" s="259"/>
      <c r="AT30" s="259"/>
      <c r="AU30" s="259"/>
      <c r="AV30" s="259"/>
      <c r="AW30" s="259"/>
      <c r="AX30" s="259"/>
      <c r="AY30" s="259"/>
      <c r="AZ30" s="259"/>
      <c r="BA30" s="259"/>
    </row>
    <row r="31" spans="1:53" x14ac:dyDescent="0.15">
      <c r="A31" s="182" t="str">
        <f>'TAS Oct 2020'!K8</f>
        <v>Aurora Energy</v>
      </c>
      <c r="B31" s="183" t="str">
        <f>'TAS Oct 2020'!L8</f>
        <v>Regulated</v>
      </c>
      <c r="C31" s="184">
        <f>IF('TAS Oct 2020'!BQ8=0,91*'TAS Oct 2020'!M8/100,(91*'TAS Oct 2020'!M8/100)+'TAS Oct 2020'!BQ8/4)</f>
        <v>91.876909090909081</v>
      </c>
      <c r="D31" s="184">
        <f>IF('TAS Oct 2020'!O8="",$C$25*$C$26*'TAS Oct 2020'!N8/100,IF($C$25*$C$26&gt;='TAS Oct 2020'!P8,('TAS Oct 2020'!P8*'TAS Oct 2020'!N8/100),($C$25*$C$26*'TAS Oct 2020'!N8/100)))</f>
        <v>382.22727272727275</v>
      </c>
      <c r="E31" s="184">
        <f>IF(AND('TAS Oct 2020'!P8&gt;0,'TAS Oct 2020'!R8&gt;0),IF($C$25*$C$26&lt;'TAS Oct 2020'!P8,0,IF($C$25*$C$26&lt;=('TAS Oct 2020'!R8+'TAS Oct 2020'!P8),(($C$25*$C$26-'TAS Oct 2020'!P8)*'TAS Oct 2020'!Q8/100),(('TAS Oct 2020'!R8)*'TAS Oct 2020'!Q8/100))),0)</f>
        <v>0</v>
      </c>
      <c r="F31" s="184">
        <f>IF(AND('TAS Oct 2020'!R8&gt;0,'TAS Oct 2020'!T8&gt;0),IF(($C$25*$C$26&lt;'TAS Oct 2020'!T8),(0),($C$25*$C$246-'TAS Oct 2020'!T8)*'TAS Oct 2020'!U8/100),IF(AND('TAS Oct 2020'!R8&gt;0,'TAS Oct 2020'!T8=""),IF(($C$25*$C$26&lt;'TAS Oct 2020'!R8+'TAS Oct 2020'!P8),(0),(($C$25*$C$26-('TAS Oct 2020'!R8+'TAS Oct 2020'!P8))*'TAS Oct 2020'!S8/100)),IF(AND('TAS Oct 2020'!P8&gt;0,'TAS Oct 2020'!R8=""&gt;0),IF(($C$25*$C$26&lt;'TAS Oct 2020'!P8),(0),($C$25*$C$26-'TAS Oct 2020'!P8)*'TAS Oct 2020'!Q8/100),0)))</f>
        <v>0</v>
      </c>
      <c r="G31" s="185">
        <f>($C$25*$C$27)*'TAS Oct 2020'!AI8/100</f>
        <v>368.36363636363632</v>
      </c>
      <c r="H31" s="186">
        <f>($C$25*$C$28)*'TAS Oct 2020'!W8/100</f>
        <v>161.59090909090909</v>
      </c>
      <c r="I31" s="187">
        <f>SUM(C31:H31)</f>
        <v>1004.0587272727272</v>
      </c>
      <c r="J31" s="187">
        <f>(I31-C31)*4</f>
        <v>3648.7272727272725</v>
      </c>
      <c r="K31" s="187">
        <f>I31*4</f>
        <v>4016.2349090909088</v>
      </c>
      <c r="L31" s="188">
        <f>K31*1.1</f>
        <v>4417.8584000000001</v>
      </c>
      <c r="M31" s="189">
        <f>'TAS Oct 2020'!BC8</f>
        <v>0</v>
      </c>
      <c r="N31" s="189">
        <f>'TAS Oct 2020'!BD8</f>
        <v>0</v>
      </c>
      <c r="O31" s="189">
        <f>'TAS Oct 2020'!BE8</f>
        <v>0</v>
      </c>
      <c r="P31" s="189">
        <f>'TAS Oct 2020'!BF8</f>
        <v>0</v>
      </c>
      <c r="Q31" s="189" t="str">
        <f>IF(SUM(M31:P31)=0,"No discount",IF(M31&gt;0,"Guaranteed off bill",IF(N31&gt;0,"Guaranteed off usage",IF(O31&gt;0,"Pay-on-time off bill","Pay-on-time off usage"))))</f>
        <v>No discount</v>
      </c>
      <c r="R31" s="189" t="str">
        <f t="shared" ref="R31:R32" si="9">IF(OR(A31="Origin Energy",A31="Red Energy",A31="Powershop"),"Inclusive","Exclusive")</f>
        <v>Exclusive</v>
      </c>
      <c r="S31" s="223">
        <f>IF(AND(Q31="Guaranteed off bill",R31="Inclusive"),((K31*1.1)-((K31*1.1)*M31/100))/1.1,IF(AND(Q31="Guaranteed off usage",R31="Inclusive"),((K31*1.1)-((J31*1.1)*N31/100))/1.1,IF(AND(Q31="Guaranteed off bill",R31="Exclusive"),K31-(K31*M31/100),IF(AND(Q31="Guaranteed off usage",R31="Exclusive"),K31-(J31*N31/100),IF(R31="Inclusive",((K31*1.1))/1.1,K31)))))</f>
        <v>4016.2349090909088</v>
      </c>
      <c r="T31" s="224">
        <f>IF(AND(Q31="Pay-on-time off bill",R31="Inclusive"),((S31*1.1)-((S31*1.1)*O31/100))/1.1,IF(AND(Q31="Pay-on-time off usage",R31="Inclusive"),((S31*1.1)-((J31*1.1)*P31/100))/1.1,IF(AND(Q31="Pay-on-time off bill",R31="Exclusive"),S31-(S31*O31/100),IF(AND(Q31="Pay-on-time off usage",R31="Exclusive"),S31-(J31*P31/100),IF(R31="Inclusive",((S31*1.1))/1.1,S31)))))</f>
        <v>4016.2349090909088</v>
      </c>
      <c r="U31" s="188">
        <f t="shared" ref="U31:U32" si="10">IF(R31="Exclusive",S31*1.1,S31)</f>
        <v>4417.8584000000001</v>
      </c>
      <c r="V31" s="188">
        <f t="shared" ref="V31:V32" si="11">IF(R31="Exclusive",T31*1.1,T31)</f>
        <v>4417.8584000000001</v>
      </c>
      <c r="W31" s="190" t="str">
        <f>'TAS Oct 2020'!BM8</f>
        <v>n</v>
      </c>
      <c r="X31" s="191">
        <f>'TAS Oct 2020'!BN8</f>
        <v>0</v>
      </c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</row>
    <row r="32" spans="1:53" ht="15" thickBot="1" x14ac:dyDescent="0.2">
      <c r="A32" s="153" t="str">
        <f>'TAS Oct 2020'!K9</f>
        <v>1st Energy</v>
      </c>
      <c r="B32" s="160" t="str">
        <f>'TAS Oct 2020'!L9</f>
        <v>1st Saver</v>
      </c>
      <c r="C32" s="133">
        <f>IF('TAS Oct 2020'!BQ9=0,91*'TAS Oct 2020'!M9/100,(91*'TAS Oct 2020'!M9/100)+'TAS Oct 2020'!BQ9/4)</f>
        <v>91.876909090909081</v>
      </c>
      <c r="D32" s="133">
        <f>IF('TAS Oct 2020'!O9="",$C$25*$C$26*'TAS Oct 2020'!N9/100,IF($C$25*$C$26&gt;='TAS Oct 2020'!P9,('TAS Oct 2020'!P9*'TAS Oct 2020'!N9/100),($C$25*$C$26*'TAS Oct 2020'!N9/100)))</f>
        <v>382.22727272727275</v>
      </c>
      <c r="E32" s="133">
        <f>IF(AND('TAS Oct 2020'!P9&gt;0,'TAS Oct 2020'!R9&gt;0),IF($C$25*$C$26&lt;'TAS Oct 2020'!P9,0,IF($C$25*$C$26&lt;=('TAS Oct 2020'!R9+'TAS Oct 2020'!P9),(($C$25*$C$26-'TAS Oct 2020'!P9)*'TAS Oct 2020'!Q9/100),(('TAS Oct 2020'!R9)*'TAS Oct 2020'!Q9/100))),0)</f>
        <v>0</v>
      </c>
      <c r="F32" s="133">
        <f>IF(AND('TAS Oct 2020'!R9&gt;0,'TAS Oct 2020'!T9&gt;0),IF(($C$25*$C$26&lt;'TAS Oct 2020'!T9),(0),($C$25*$C$246-'TAS Oct 2020'!T9)*'TAS Oct 2020'!U9/100),IF(AND('TAS Oct 2020'!R9&gt;0,'TAS Oct 2020'!T9=""),IF(($C$25*$C$26&lt;'TAS Oct 2020'!R9+'TAS Oct 2020'!P9),(0),(($C$25*$C$26-('TAS Oct 2020'!R9+'TAS Oct 2020'!P9))*'TAS Oct 2020'!S9/100)),IF(AND('TAS Oct 2020'!P9&gt;0,'TAS Oct 2020'!R9=""&gt;0),IF(($C$25*$C$26&lt;'TAS Oct 2020'!P9),(0),($C$25*$C$26-'TAS Oct 2020'!P9)*'TAS Oct 2020'!Q9/100),0)))</f>
        <v>0</v>
      </c>
      <c r="G32" s="135">
        <f>($C$25*$C$27)*'TAS Oct 2020'!AI9/100</f>
        <v>0</v>
      </c>
      <c r="H32" s="136">
        <f>($C$25*$C$28)*'TAS Oct 2020'!W9/100</f>
        <v>161.59090909090909</v>
      </c>
      <c r="I32" s="137">
        <f>SUM(C32:H32)</f>
        <v>635.69509090909094</v>
      </c>
      <c r="J32" s="137">
        <f>(I32-C32)*4</f>
        <v>2175.2727272727275</v>
      </c>
      <c r="K32" s="137">
        <f>I32*4</f>
        <v>2542.7803636363637</v>
      </c>
      <c r="L32" s="138">
        <f>K32*1.1</f>
        <v>2797.0584000000003</v>
      </c>
      <c r="M32" s="132">
        <f>'TAS Oct 2020'!BC9</f>
        <v>0</v>
      </c>
      <c r="N32" s="132">
        <f>'TAS Oct 2020'!BD9</f>
        <v>0</v>
      </c>
      <c r="O32" s="132">
        <f>'TAS Oct 2020'!BE9</f>
        <v>5</v>
      </c>
      <c r="P32" s="132">
        <f>'TAS Oct 2020'!BF9</f>
        <v>0</v>
      </c>
      <c r="Q32" s="132" t="str">
        <f>IF(SUM(M32:P32)=0,"No discount",IF(M32&gt;0,"Guaranteed off bill",IF(N32&gt;0,"Guaranteed off usage",IF(O32&gt;0,"Pay-on-time off bill","Pay-on-time off usage"))))</f>
        <v>Pay-on-time off bill</v>
      </c>
      <c r="R32" s="132" t="str">
        <f t="shared" si="9"/>
        <v>Exclusive</v>
      </c>
      <c r="S32" s="221">
        <f>IF(AND(Q32="Guaranteed off bill",R32="Inclusive"),((K32*1.1)-((K32*1.1)*M32/100))/1.1,IF(AND(Q32="Guaranteed off usage",R32="Inclusive"),((K32*1.1)-((J32*1.1)*N32/100))/1.1,IF(AND(Q32="Guaranteed off bill",R32="Exclusive"),K32-(K32*M32/100),IF(AND(Q32="Guaranteed off usage",R32="Exclusive"),K32-(J32*N32/100),IF(R32="Inclusive",((K32*1.1))/1.1,K32)))))</f>
        <v>2542.7803636363637</v>
      </c>
      <c r="T32" s="222">
        <f>IF(AND(Q32="Pay-on-time off bill",R32="Inclusive"),((S32*1.1)-((S32*1.1)*O32/100))/1.1,IF(AND(Q32="Pay-on-time off usage",R32="Inclusive"),((S32*1.1)-((J32*1.1)*P32/100))/1.1,IF(AND(Q32="Pay-on-time off bill",R32="Exclusive"),S32-(S32*O32/100),IF(AND(Q32="Pay-on-time off usage",R32="Exclusive"),S32-(J32*P32/100),IF(R32="Inclusive",((S32*1.1))/1.1,S32)))))</f>
        <v>2415.6413454545454</v>
      </c>
      <c r="U32" s="138">
        <f t="shared" si="10"/>
        <v>2797.0584000000003</v>
      </c>
      <c r="V32" s="138">
        <f t="shared" si="11"/>
        <v>2657.2054800000001</v>
      </c>
      <c r="W32" s="154">
        <f>'TAS Oct 2020'!BM9</f>
        <v>0</v>
      </c>
      <c r="X32" s="155">
        <f>'TAS Oct 2020'!BN9</f>
        <v>12</v>
      </c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</row>
    <row r="33" spans="19:53" x14ac:dyDescent="0.15"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</row>
    <row r="34" spans="19:53" x14ac:dyDescent="0.15">
      <c r="S34" s="260"/>
      <c r="T34" s="260"/>
      <c r="U34" s="260"/>
      <c r="V34" s="260"/>
      <c r="W34" s="260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59"/>
    </row>
    <row r="35" spans="19:53" x14ac:dyDescent="0.15">
      <c r="S35" s="260"/>
      <c r="T35" s="260"/>
      <c r="U35" s="260"/>
      <c r="V35" s="260"/>
      <c r="W35" s="260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59"/>
      <c r="AZ35" s="259"/>
      <c r="BA35" s="259"/>
    </row>
    <row r="36" spans="19:53" x14ac:dyDescent="0.15">
      <c r="S36" s="260"/>
      <c r="T36" s="260"/>
      <c r="U36" s="260"/>
      <c r="V36" s="260"/>
      <c r="W36" s="260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</row>
    <row r="37" spans="19:53" x14ac:dyDescent="0.15">
      <c r="S37" s="260"/>
      <c r="T37" s="260"/>
      <c r="U37" s="260"/>
      <c r="V37" s="260"/>
      <c r="W37" s="260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</row>
    <row r="38" spans="19:53" x14ac:dyDescent="0.15">
      <c r="S38" s="260"/>
      <c r="T38" s="260"/>
      <c r="U38" s="260"/>
      <c r="V38" s="260"/>
      <c r="W38" s="260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</row>
    <row r="39" spans="19:53" x14ac:dyDescent="0.15">
      <c r="S39" s="260"/>
      <c r="T39" s="260"/>
      <c r="U39" s="260"/>
      <c r="V39" s="260"/>
      <c r="W39" s="260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</row>
    <row r="40" spans="19:53" x14ac:dyDescent="0.15">
      <c r="S40" s="260"/>
      <c r="T40" s="260"/>
      <c r="U40" s="260"/>
      <c r="V40" s="260"/>
      <c r="W40" s="260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</row>
    <row r="41" spans="19:53" x14ac:dyDescent="0.15">
      <c r="S41" s="260"/>
      <c r="T41" s="260"/>
      <c r="U41" s="260"/>
      <c r="V41" s="260"/>
      <c r="W41" s="260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259"/>
      <c r="AO41" s="259"/>
      <c r="AP41" s="259"/>
      <c r="AQ41" s="259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</row>
    <row r="42" spans="19:53" x14ac:dyDescent="0.15">
      <c r="S42" s="260"/>
      <c r="T42" s="260"/>
      <c r="U42" s="260"/>
      <c r="V42" s="260"/>
      <c r="W42" s="260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</row>
    <row r="43" spans="19:53" x14ac:dyDescent="0.15">
      <c r="S43" s="260"/>
      <c r="T43" s="260"/>
      <c r="U43" s="260"/>
      <c r="V43" s="260"/>
      <c r="W43" s="260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</row>
    <row r="44" spans="19:53" x14ac:dyDescent="0.15">
      <c r="S44" s="260"/>
      <c r="T44" s="260"/>
      <c r="U44" s="260"/>
      <c r="V44" s="260"/>
      <c r="W44" s="260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59"/>
      <c r="AM44" s="259"/>
      <c r="AN44" s="259"/>
      <c r="AO44" s="259"/>
      <c r="AP44" s="259"/>
      <c r="AQ44" s="259"/>
      <c r="AR44" s="259"/>
      <c r="AS44" s="259"/>
      <c r="AT44" s="259"/>
      <c r="AU44" s="259"/>
      <c r="AV44" s="259"/>
      <c r="AW44" s="259"/>
      <c r="AX44" s="259"/>
      <c r="AY44" s="259"/>
      <c r="AZ44" s="259"/>
      <c r="BA44" s="259"/>
    </row>
    <row r="45" spans="19:53" x14ac:dyDescent="0.15">
      <c r="S45" s="260"/>
      <c r="T45" s="260"/>
      <c r="U45" s="260"/>
      <c r="V45" s="260"/>
      <c r="W45" s="260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59"/>
      <c r="AP45" s="259"/>
      <c r="AQ45" s="259"/>
      <c r="AR45" s="259"/>
      <c r="AS45" s="259"/>
      <c r="AT45" s="259"/>
      <c r="AU45" s="259"/>
      <c r="AV45" s="259"/>
      <c r="AW45" s="259"/>
      <c r="AX45" s="259"/>
      <c r="AY45" s="259"/>
      <c r="AZ45" s="259"/>
      <c r="BA45" s="259"/>
    </row>
    <row r="46" spans="19:53" x14ac:dyDescent="0.15">
      <c r="S46" s="260"/>
      <c r="T46" s="260"/>
      <c r="U46" s="260"/>
      <c r="V46" s="260"/>
      <c r="W46" s="260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259"/>
      <c r="AO46" s="259"/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</row>
    <row r="47" spans="19:53" x14ac:dyDescent="0.15">
      <c r="S47" s="260"/>
      <c r="T47" s="260"/>
      <c r="U47" s="260"/>
      <c r="V47" s="260"/>
      <c r="W47" s="260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</row>
    <row r="48" spans="19:53" x14ac:dyDescent="0.15">
      <c r="S48" s="260"/>
      <c r="T48" s="260"/>
      <c r="U48" s="260"/>
      <c r="V48" s="260"/>
      <c r="W48" s="260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</row>
    <row r="49" spans="19:53" x14ac:dyDescent="0.15">
      <c r="S49" s="260"/>
      <c r="T49" s="260"/>
      <c r="U49" s="260"/>
      <c r="V49" s="260"/>
      <c r="W49" s="260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</row>
    <row r="50" spans="19:53" x14ac:dyDescent="0.15">
      <c r="S50" s="260"/>
      <c r="T50" s="260"/>
      <c r="U50" s="260"/>
      <c r="V50" s="260"/>
      <c r="W50" s="260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  <c r="AM50" s="259"/>
      <c r="AN50" s="259"/>
      <c r="AO50" s="259"/>
      <c r="AP50" s="259"/>
      <c r="AQ50" s="259"/>
      <c r="AR50" s="259"/>
      <c r="AS50" s="259"/>
      <c r="AT50" s="259"/>
      <c r="AU50" s="259"/>
      <c r="AV50" s="259"/>
      <c r="AW50" s="259"/>
      <c r="AX50" s="259"/>
      <c r="AY50" s="259"/>
      <c r="AZ50" s="259"/>
      <c r="BA50" s="259"/>
    </row>
    <row r="51" spans="19:53" x14ac:dyDescent="0.15">
      <c r="S51" s="260"/>
      <c r="T51" s="260"/>
      <c r="U51" s="260"/>
      <c r="V51" s="260"/>
      <c r="W51" s="260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259"/>
      <c r="AO51" s="259"/>
      <c r="AP51" s="259"/>
      <c r="AQ51" s="259"/>
      <c r="AR51" s="259"/>
      <c r="AS51" s="259"/>
      <c r="AT51" s="259"/>
      <c r="AU51" s="259"/>
      <c r="AV51" s="259"/>
      <c r="AW51" s="259"/>
      <c r="AX51" s="259"/>
      <c r="AY51" s="259"/>
      <c r="AZ51" s="259"/>
      <c r="BA51" s="259"/>
    </row>
    <row r="52" spans="19:53" x14ac:dyDescent="0.15">
      <c r="S52" s="260"/>
      <c r="T52" s="260"/>
      <c r="U52" s="260"/>
      <c r="V52" s="260"/>
      <c r="W52" s="260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259"/>
      <c r="AO52" s="259"/>
      <c r="AP52" s="259"/>
      <c r="AQ52" s="259"/>
      <c r="AR52" s="259"/>
      <c r="AS52" s="259"/>
      <c r="AT52" s="259"/>
      <c r="AU52" s="259"/>
      <c r="AV52" s="259"/>
      <c r="AW52" s="259"/>
      <c r="AX52" s="259"/>
      <c r="AY52" s="259"/>
      <c r="AZ52" s="259"/>
      <c r="BA52" s="259"/>
    </row>
    <row r="53" spans="19:53" x14ac:dyDescent="0.15">
      <c r="S53" s="260"/>
      <c r="T53" s="260"/>
      <c r="U53" s="260"/>
      <c r="V53" s="260"/>
      <c r="W53" s="260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59"/>
      <c r="AK53" s="259"/>
      <c r="AL53" s="259"/>
      <c r="AM53" s="259"/>
      <c r="AN53" s="259"/>
      <c r="AO53" s="259"/>
      <c r="AP53" s="259"/>
      <c r="AQ53" s="259"/>
      <c r="AR53" s="259"/>
      <c r="AS53" s="259"/>
      <c r="AT53" s="259"/>
      <c r="AU53" s="259"/>
      <c r="AV53" s="259"/>
      <c r="AW53" s="259"/>
      <c r="AX53" s="259"/>
      <c r="AY53" s="259"/>
      <c r="AZ53" s="259"/>
      <c r="BA53" s="259"/>
    </row>
    <row r="54" spans="19:53" x14ac:dyDescent="0.15">
      <c r="S54" s="260"/>
      <c r="T54" s="260"/>
      <c r="U54" s="260"/>
      <c r="V54" s="260"/>
      <c r="W54" s="260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59"/>
      <c r="AU54" s="259"/>
      <c r="AV54" s="259"/>
      <c r="AW54" s="259"/>
      <c r="AX54" s="259"/>
      <c r="AY54" s="259"/>
      <c r="AZ54" s="259"/>
      <c r="BA54" s="259"/>
    </row>
    <row r="55" spans="19:53" x14ac:dyDescent="0.15">
      <c r="S55" s="260"/>
      <c r="T55" s="260"/>
      <c r="U55" s="260"/>
      <c r="V55" s="260"/>
      <c r="W55" s="260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59"/>
      <c r="AS55" s="259"/>
      <c r="AT55" s="259"/>
      <c r="AU55" s="259"/>
      <c r="AV55" s="259"/>
      <c r="AW55" s="259"/>
      <c r="AX55" s="259"/>
      <c r="AY55" s="259"/>
      <c r="AZ55" s="259"/>
      <c r="BA55" s="259"/>
    </row>
    <row r="56" spans="19:53" x14ac:dyDescent="0.15">
      <c r="S56" s="260"/>
      <c r="T56" s="260"/>
      <c r="U56" s="260"/>
      <c r="V56" s="260"/>
      <c r="W56" s="260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</row>
    <row r="57" spans="19:53" x14ac:dyDescent="0.15">
      <c r="S57" s="260"/>
      <c r="T57" s="260"/>
      <c r="U57" s="260"/>
      <c r="V57" s="260"/>
      <c r="W57" s="260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</row>
    <row r="58" spans="19:53" x14ac:dyDescent="0.15">
      <c r="S58" s="260"/>
      <c r="T58" s="260"/>
      <c r="U58" s="260"/>
      <c r="V58" s="260"/>
      <c r="W58" s="260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59"/>
      <c r="AU58" s="259"/>
      <c r="AV58" s="259"/>
      <c r="AW58" s="259"/>
      <c r="AX58" s="259"/>
      <c r="AY58" s="259"/>
      <c r="AZ58" s="259"/>
      <c r="BA58" s="259"/>
    </row>
    <row r="59" spans="19:53" x14ac:dyDescent="0.15">
      <c r="S59" s="260"/>
      <c r="T59" s="260"/>
      <c r="U59" s="260"/>
      <c r="V59" s="260"/>
      <c r="W59" s="260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  <c r="AL59" s="259"/>
      <c r="AM59" s="259"/>
      <c r="AN59" s="259"/>
      <c r="AO59" s="259"/>
      <c r="AP59" s="259"/>
      <c r="AQ59" s="259"/>
      <c r="AR59" s="259"/>
      <c r="AS59" s="259"/>
      <c r="AT59" s="259"/>
      <c r="AU59" s="259"/>
      <c r="AV59" s="259"/>
      <c r="AW59" s="259"/>
      <c r="AX59" s="259"/>
      <c r="AY59" s="259"/>
      <c r="AZ59" s="259"/>
      <c r="BA59" s="259"/>
    </row>
    <row r="60" spans="19:53" x14ac:dyDescent="0.15">
      <c r="S60" s="260"/>
      <c r="T60" s="260"/>
      <c r="U60" s="260"/>
      <c r="V60" s="260"/>
      <c r="W60" s="260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</row>
    <row r="61" spans="19:53" x14ac:dyDescent="0.15">
      <c r="S61" s="260"/>
      <c r="T61" s="260"/>
      <c r="U61" s="260"/>
      <c r="V61" s="260"/>
      <c r="W61" s="260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259"/>
      <c r="AO61" s="259"/>
      <c r="AP61" s="259"/>
      <c r="AQ61" s="259"/>
      <c r="AR61" s="259"/>
      <c r="AS61" s="259"/>
      <c r="AT61" s="259"/>
      <c r="AU61" s="259"/>
      <c r="AV61" s="259"/>
      <c r="AW61" s="259"/>
      <c r="AX61" s="259"/>
      <c r="AY61" s="259"/>
      <c r="AZ61" s="259"/>
      <c r="BA61" s="259"/>
    </row>
    <row r="62" spans="19:53" x14ac:dyDescent="0.15">
      <c r="S62" s="260"/>
      <c r="T62" s="260"/>
      <c r="U62" s="260"/>
      <c r="V62" s="260"/>
      <c r="W62" s="260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</row>
    <row r="63" spans="19:53" x14ac:dyDescent="0.15">
      <c r="S63" s="260"/>
      <c r="T63" s="260"/>
      <c r="U63" s="260"/>
      <c r="V63" s="260"/>
      <c r="W63" s="260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59"/>
      <c r="AU63" s="259"/>
      <c r="AV63" s="259"/>
      <c r="AW63" s="259"/>
      <c r="AX63" s="259"/>
      <c r="AY63" s="259"/>
      <c r="AZ63" s="259"/>
      <c r="BA63" s="259"/>
    </row>
    <row r="64" spans="19:53" x14ac:dyDescent="0.15">
      <c r="S64" s="260"/>
      <c r="T64" s="260"/>
      <c r="U64" s="260"/>
      <c r="V64" s="260"/>
      <c r="W64" s="260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259"/>
      <c r="AM64" s="259"/>
      <c r="AN64" s="259"/>
      <c r="AO64" s="259"/>
      <c r="AP64" s="259"/>
      <c r="AQ64" s="259"/>
      <c r="AR64" s="259"/>
      <c r="AS64" s="259"/>
      <c r="AT64" s="259"/>
      <c r="AU64" s="259"/>
      <c r="AV64" s="259"/>
      <c r="AW64" s="259"/>
      <c r="AX64" s="259"/>
      <c r="AY64" s="259"/>
      <c r="AZ64" s="259"/>
      <c r="BA64" s="259"/>
    </row>
    <row r="65" spans="19:53" x14ac:dyDescent="0.15">
      <c r="S65" s="260"/>
      <c r="T65" s="260"/>
      <c r="U65" s="260"/>
      <c r="V65" s="260"/>
      <c r="W65" s="260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59"/>
      <c r="AT65" s="259"/>
      <c r="AU65" s="259"/>
      <c r="AV65" s="259"/>
      <c r="AW65" s="259"/>
      <c r="AX65" s="259"/>
      <c r="AY65" s="259"/>
      <c r="AZ65" s="259"/>
      <c r="BA65" s="259"/>
    </row>
    <row r="66" spans="19:53" x14ac:dyDescent="0.15">
      <c r="S66" s="260"/>
      <c r="T66" s="260"/>
      <c r="U66" s="260"/>
      <c r="V66" s="260"/>
      <c r="W66" s="260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</row>
    <row r="67" spans="19:53" x14ac:dyDescent="0.15">
      <c r="S67" s="260"/>
      <c r="T67" s="260"/>
      <c r="U67" s="260"/>
      <c r="V67" s="260"/>
      <c r="W67" s="260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</row>
    <row r="68" spans="19:53" x14ac:dyDescent="0.15">
      <c r="S68" s="260"/>
      <c r="T68" s="260"/>
      <c r="U68" s="260"/>
      <c r="V68" s="260"/>
      <c r="W68" s="260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</row>
    <row r="69" spans="19:53" x14ac:dyDescent="0.15">
      <c r="S69" s="260"/>
      <c r="T69" s="260"/>
      <c r="U69" s="260"/>
      <c r="V69" s="260"/>
      <c r="W69" s="260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59"/>
      <c r="AU69" s="259"/>
      <c r="AV69" s="259"/>
      <c r="AW69" s="259"/>
      <c r="AX69" s="259"/>
      <c r="AY69" s="259"/>
      <c r="AZ69" s="259"/>
      <c r="BA69" s="259"/>
    </row>
    <row r="70" spans="19:53" x14ac:dyDescent="0.15">
      <c r="S70" s="260"/>
      <c r="T70" s="260"/>
      <c r="U70" s="260"/>
      <c r="V70" s="260"/>
      <c r="W70" s="260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59"/>
      <c r="AV70" s="259"/>
      <c r="AW70" s="259"/>
      <c r="AX70" s="259"/>
      <c r="AY70" s="259"/>
      <c r="AZ70" s="259"/>
      <c r="BA70" s="259"/>
    </row>
    <row r="71" spans="19:53" x14ac:dyDescent="0.15">
      <c r="S71" s="260"/>
      <c r="T71" s="260"/>
      <c r="U71" s="260"/>
      <c r="V71" s="260"/>
      <c r="W71" s="260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59"/>
      <c r="AU71" s="259"/>
      <c r="AV71" s="259"/>
      <c r="AW71" s="259"/>
      <c r="AX71" s="259"/>
      <c r="AY71" s="259"/>
      <c r="AZ71" s="259"/>
      <c r="BA71" s="259"/>
    </row>
    <row r="72" spans="19:53" x14ac:dyDescent="0.15">
      <c r="S72" s="260"/>
      <c r="T72" s="260"/>
      <c r="U72" s="260"/>
      <c r="V72" s="260"/>
      <c r="W72" s="260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9"/>
      <c r="AT72" s="259"/>
      <c r="AU72" s="259"/>
      <c r="AV72" s="259"/>
      <c r="AW72" s="259"/>
      <c r="AX72" s="259"/>
      <c r="AY72" s="259"/>
      <c r="AZ72" s="259"/>
      <c r="BA72" s="259"/>
    </row>
    <row r="73" spans="19:53" x14ac:dyDescent="0.15">
      <c r="S73" s="260"/>
      <c r="T73" s="260"/>
      <c r="U73" s="260"/>
      <c r="V73" s="260"/>
      <c r="W73" s="260"/>
      <c r="Y73" s="259"/>
      <c r="Z73" s="259"/>
      <c r="AA73" s="259"/>
      <c r="AB73" s="259"/>
      <c r="AC73" s="259"/>
      <c r="AD73" s="259"/>
      <c r="AE73" s="259"/>
      <c r="AF73" s="259"/>
      <c r="AG73" s="259"/>
      <c r="AH73" s="259"/>
      <c r="AI73" s="259"/>
      <c r="AJ73" s="259"/>
      <c r="AK73" s="259"/>
      <c r="AL73" s="259"/>
      <c r="AM73" s="259"/>
      <c r="AN73" s="259"/>
      <c r="AO73" s="259"/>
      <c r="AP73" s="259"/>
      <c r="AQ73" s="259"/>
      <c r="AR73" s="259"/>
      <c r="AS73" s="259"/>
      <c r="AT73" s="259"/>
      <c r="AU73" s="259"/>
      <c r="AV73" s="259"/>
      <c r="AW73" s="259"/>
      <c r="AX73" s="259"/>
      <c r="AY73" s="259"/>
      <c r="AZ73" s="259"/>
      <c r="BA73" s="259"/>
    </row>
    <row r="74" spans="19:53" x14ac:dyDescent="0.15">
      <c r="S74" s="260"/>
      <c r="T74" s="260"/>
      <c r="U74" s="260"/>
      <c r="V74" s="260"/>
      <c r="W74" s="260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59"/>
      <c r="AK74" s="259"/>
      <c r="AL74" s="259"/>
      <c r="AM74" s="259"/>
      <c r="AN74" s="259"/>
      <c r="AO74" s="259"/>
      <c r="AP74" s="259"/>
      <c r="AQ74" s="259"/>
      <c r="AR74" s="259"/>
      <c r="AS74" s="259"/>
      <c r="AT74" s="259"/>
      <c r="AU74" s="259"/>
      <c r="AV74" s="259"/>
      <c r="AW74" s="259"/>
      <c r="AX74" s="259"/>
      <c r="AY74" s="259"/>
      <c r="AZ74" s="259"/>
      <c r="BA74" s="259"/>
    </row>
    <row r="75" spans="19:53" x14ac:dyDescent="0.15">
      <c r="S75" s="260"/>
      <c r="T75" s="260"/>
      <c r="U75" s="260"/>
      <c r="V75" s="260"/>
      <c r="W75" s="260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59"/>
      <c r="AU75" s="259"/>
      <c r="AV75" s="259"/>
      <c r="AW75" s="259"/>
      <c r="AX75" s="259"/>
      <c r="AY75" s="259"/>
      <c r="AZ75" s="259"/>
      <c r="BA75" s="259"/>
    </row>
    <row r="76" spans="19:53" x14ac:dyDescent="0.15">
      <c r="S76" s="260"/>
      <c r="T76" s="260"/>
      <c r="U76" s="260"/>
      <c r="V76" s="260"/>
      <c r="W76" s="260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59"/>
      <c r="AU76" s="259"/>
      <c r="AV76" s="259"/>
      <c r="AW76" s="259"/>
      <c r="AX76" s="259"/>
      <c r="AY76" s="259"/>
      <c r="AZ76" s="259"/>
      <c r="BA76" s="259"/>
    </row>
  </sheetData>
  <sheetProtection algorithmName="SHA-512" hashValue="2NvlvEDN9z4YqJmSlk+QUB9yUgAQ8QhKVIjRJsN7S77OeAjo+hZkFbzJc+g5uX44tv6H8AVmmn9RTBhUBFFWYg==" saltValue="yDuf3o0WbqktLMjPzwtbXQ==" spinCount="100000" sheet="1" objects="1" scenarios="1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99BE-A38D-3B47-947E-394FF9EE511C}">
  <sheetPr codeName="Sheet2">
    <tabColor theme="5" tint="0.39997558519241921"/>
  </sheetPr>
  <dimension ref="A1:BA74"/>
  <sheetViews>
    <sheetView zoomScaleNormal="100" zoomScalePageLayoutView="120" workbookViewId="0"/>
  </sheetViews>
  <sheetFormatPr baseColWidth="10" defaultRowHeight="14" x14ac:dyDescent="0.15"/>
  <cols>
    <col min="1" max="1" width="20.33203125" style="261" customWidth="1"/>
    <col min="2" max="2" width="13.5" style="261" customWidth="1"/>
    <col min="3" max="9" width="12.1640625" style="261" customWidth="1"/>
    <col min="10" max="11" width="12.1640625" style="261" hidden="1" customWidth="1"/>
    <col min="12" max="16" width="12.1640625" style="261" customWidth="1"/>
    <col min="17" max="20" width="12.1640625" style="261" hidden="1" customWidth="1"/>
    <col min="21" max="24" width="12.1640625" style="261" customWidth="1"/>
    <col min="25" max="53" width="7.5" style="261" customWidth="1"/>
    <col min="54" max="16384" width="10.83203125" style="261"/>
  </cols>
  <sheetData>
    <row r="1" spans="1:53" x14ac:dyDescent="0.15">
      <c r="A1" s="261" t="s">
        <v>149</v>
      </c>
    </row>
    <row r="2" spans="1:53" x14ac:dyDescent="0.15">
      <c r="A2" s="262" t="s">
        <v>48</v>
      </c>
    </row>
    <row r="3" spans="1:53" ht="15" thickBot="1" x14ac:dyDescent="0.2">
      <c r="G3" s="263"/>
    </row>
    <row r="4" spans="1:53" x14ac:dyDescent="0.15">
      <c r="A4" s="62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5"/>
    </row>
    <row r="5" spans="1:53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7"/>
    </row>
    <row r="6" spans="1:53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7"/>
    </row>
    <row r="7" spans="1:53" ht="75" x14ac:dyDescent="0.15">
      <c r="A7" s="251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1" t="s">
        <v>84</v>
      </c>
      <c r="G7" s="141" t="s">
        <v>85</v>
      </c>
      <c r="H7" s="141" t="s">
        <v>86</v>
      </c>
      <c r="I7" s="141" t="s">
        <v>87</v>
      </c>
      <c r="J7" s="252" t="s">
        <v>243</v>
      </c>
      <c r="K7" s="253" t="s">
        <v>61</v>
      </c>
      <c r="L7" s="142" t="s">
        <v>246</v>
      </c>
      <c r="M7" s="143" t="s">
        <v>62</v>
      </c>
      <c r="N7" s="143" t="s">
        <v>63</v>
      </c>
      <c r="O7" s="143" t="s">
        <v>64</v>
      </c>
      <c r="P7" s="143" t="s">
        <v>65</v>
      </c>
      <c r="Q7" s="254" t="s">
        <v>244</v>
      </c>
      <c r="R7" s="254" t="s">
        <v>245</v>
      </c>
      <c r="S7" s="255" t="s">
        <v>66</v>
      </c>
      <c r="T7" s="255" t="s">
        <v>67</v>
      </c>
      <c r="U7" s="144" t="s">
        <v>25</v>
      </c>
      <c r="V7" s="144" t="s">
        <v>26</v>
      </c>
      <c r="W7" s="143" t="s">
        <v>68</v>
      </c>
      <c r="X7" s="145" t="s">
        <v>95</v>
      </c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</row>
    <row r="8" spans="1:53" x14ac:dyDescent="0.15">
      <c r="A8" s="182" t="str">
        <f>'TAS Apr 2020'!K2</f>
        <v>Aurora Energy</v>
      </c>
      <c r="B8" s="183" t="str">
        <f>'TAS Apr 2020'!L2</f>
        <v>Regulated</v>
      </c>
      <c r="C8" s="184">
        <f>IF('TAS Apr 2020'!BQ2=0,91*'TAS Apr 2020'!M2/100,(91*'TAS Apr 2020'!M2/100)+'TAS Apr 2020'!BQ2/4)</f>
        <v>86.011545454545455</v>
      </c>
      <c r="D8" s="184">
        <f>IF('TAS Apr 2020'!O2="",$C$5*'TAS Apr 2020'!N2/100,IF($C$5&gt;='TAS Apr 2020'!P2,('TAS Apr 2020'!P2*'TAS Apr 2020'!N2/100),($C$5*'TAS Apr 2020'!N2/100)))</f>
        <v>156.99999999999997</v>
      </c>
      <c r="E8" s="184">
        <f>IF(AND('TAS Apr 2020'!P2&gt;0,'TAS Apr 2020'!R2&gt;0),IF($C$5&lt;'TAS Apr 2020'!P2,0,IF($C$5&lt;=('TAS Apr 2020'!R2+'TAS Apr 2020'!P2),(($C$5-'TAS Apr 2020'!P2)*'TAS Apr 2020'!Q2/100),(('TAS Apr 2020'!R2)*'TAS Apr 2020'!Q2/100))),0)</f>
        <v>0</v>
      </c>
      <c r="F8" s="184">
        <f>IF(AND('TAS Apr 2020'!Q2&gt;0,'TAS Apr 2020'!S2&gt;0),IF($C$5&lt;('TAS Apr 2020'!R2+'TAS Apr 2020'!P2),0,IF($C$5&lt;=('TAS Apr 2020'!T2+'TAS Apr 2020'!R2+'TAS Apr 2020'!P2),(($C$5-('TAS Apr 2020'!R2+'TAS Apr 2020'!P2))*'TAS Apr 2020'!S2/100),('TAS Apr 2020'!T2*'TAS Apr 2020'!S2/100))),0)</f>
        <v>0</v>
      </c>
      <c r="G8" s="185">
        <v>0</v>
      </c>
      <c r="H8" s="184">
        <f>IF(AND('TAS Apr 2020'!R2&gt;0,'TAS Apr 2020'!T2&gt;0),IF(($C$5&lt;'TAS Apr 2020'!T2),(0),($C$5-'TAS Apr 2020'!T2)*'TAS Apr 2020'!U2/100),IF(AND('TAS Apr 2020'!R2&gt;0,'TAS Apr 2020'!T2=""),IF(($C$5&lt;'TAS Apr 2020'!R2+'TAS Apr 2020'!P2),(0),(($C$5-('TAS Apr 2020'!R2+'TAS Apr 2020'!P2))*'TAS Apr 2020'!S2/100)),IF(AND('TAS Apr 2020'!P2&gt;0,'TAS Apr 2020'!R2=""&gt;0),IF(($C$5&lt;'TAS Apr 2020'!P2),(0),($C$5-'TAS Apr 2020'!P2)*'TAS Apr 2020'!Q2/100),0)))</f>
        <v>1045.2272727272727</v>
      </c>
      <c r="I8" s="187">
        <f>SUM(C8:H8)</f>
        <v>1288.2388181818183</v>
      </c>
      <c r="J8" s="187">
        <f>(I8-C8)*4</f>
        <v>4808.909090909091</v>
      </c>
      <c r="K8" s="187">
        <f>I8*4</f>
        <v>5152.955272727273</v>
      </c>
      <c r="L8" s="188">
        <f>K8*1.1</f>
        <v>5668.2508000000007</v>
      </c>
      <c r="M8" s="189">
        <f>'TAS Apr 2020'!BC2</f>
        <v>0</v>
      </c>
      <c r="N8" s="189">
        <f>'TAS Apr 2020'!BD2</f>
        <v>0</v>
      </c>
      <c r="O8" s="189">
        <f>'TAS Apr 2020'!BE2</f>
        <v>0</v>
      </c>
      <c r="P8" s="189">
        <f>'TAS Apr 2020'!BF2</f>
        <v>0</v>
      </c>
      <c r="Q8" s="189" t="str">
        <f>IF(SUM(M8:P8)=0,"No discount",IF(M8&gt;0,"Guaranteed off bill",IF(N8&gt;0,"Guaranteed off usage",IF(O8&gt;0,"Pay-on-time off bill","Pay-on-time off usage"))))</f>
        <v>No discount</v>
      </c>
      <c r="R8" s="189" t="str">
        <f t="shared" ref="R8:R9" si="0">IF(OR(A8="Origin Energy",A8="Red Energy",A8="Powershop"),"Inclusive","Exclusive")</f>
        <v>Exclusive</v>
      </c>
      <c r="S8" s="22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5152.955272727273</v>
      </c>
      <c r="T8" s="22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5152.955272727273</v>
      </c>
      <c r="U8" s="188">
        <f>S8*1.1</f>
        <v>5668.2508000000007</v>
      </c>
      <c r="V8" s="188">
        <f>T8*1.1</f>
        <v>5668.2508000000007</v>
      </c>
      <c r="W8" s="190">
        <f>'TAS Apr 2020'!BM2</f>
        <v>0</v>
      </c>
      <c r="X8" s="191" t="str">
        <f>'TAS Apr 2020'!BN2</f>
        <v>n</v>
      </c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</row>
    <row r="9" spans="1:53" ht="15" thickBot="1" x14ac:dyDescent="0.2">
      <c r="A9" s="153" t="str">
        <f>'TAS Apr 2020'!K3</f>
        <v>1st Energy</v>
      </c>
      <c r="B9" s="160" t="str">
        <f>'TAS Apr 2020'!L3</f>
        <v>1st Saver</v>
      </c>
      <c r="C9" s="133">
        <f>IF('TAS Apr 2020'!BQ3=0,91*'TAS Apr 2020'!M3/100,(91*'TAS Apr 2020'!M3/100)+'TAS Apr 2020'!BQ3/4)</f>
        <v>86.00327272727273</v>
      </c>
      <c r="D9" s="133">
        <f>IF('TAS Apr 2020'!O3="",$C$5*'TAS Apr 2020'!N3/100,IF($C$5&gt;='TAS Apr 2020'!P3,('TAS Apr 2020'!P3*'TAS Apr 2020'!N3/100),($C$5*'TAS Apr 2020'!N3/100)))</f>
        <v>156.99999999999997</v>
      </c>
      <c r="E9" s="133">
        <f>IF(AND('TAS Apr 2020'!P3&gt;0,'TAS Apr 2020'!R3&gt;0),IF($C$5&lt;'TAS Apr 2020'!P3,0,IF($C$5&lt;=('TAS Apr 2020'!R3+'TAS Apr 2020'!P3),(($C$5-'TAS Apr 2020'!P3)*'TAS Apr 2020'!Q3/100),(('TAS Apr 2020'!R3)*'TAS Apr 2020'!Q3/100))),0)</f>
        <v>0</v>
      </c>
      <c r="F9" s="133">
        <f>IF(AND('TAS Apr 2020'!Q3&gt;0,'TAS Apr 2020'!S3&gt;0),IF($C$5&lt;('TAS Apr 2020'!R3+'TAS Apr 2020'!P3),0,IF($C$5&lt;=('TAS Apr 2020'!T3+'TAS Apr 2020'!R3+'TAS Apr 2020'!P3),(($C$5-('TAS Apr 2020'!R3+'TAS Apr 2020'!P3))*'TAS Apr 2020'!S3/100),('TAS Apr 2020'!T3*'TAS Apr 2020'!S3/100))),0)</f>
        <v>0</v>
      </c>
      <c r="G9" s="135">
        <v>0</v>
      </c>
      <c r="H9" s="133">
        <f>IF(AND('TAS Apr 2020'!R3&gt;0,'TAS Apr 2020'!T3&gt;0),IF(($C$5&lt;'TAS Apr 2020'!T3),(0),($C$5-'TAS Apr 2020'!T3)*'TAS Apr 2020'!U3/100),IF(AND('TAS Apr 2020'!R3&gt;0,'TAS Apr 2020'!T3=""),IF(($C$5&lt;'TAS Apr 2020'!R3+'TAS Apr 2020'!P3),(0),(($C$5-('TAS Apr 2020'!R3+'TAS Apr 2020'!P3))*'TAS Apr 2020'!S3/100)),IF(AND('TAS Apr 2020'!P3&gt;0,'TAS Apr 2020'!R3=""&gt;0),IF(($C$5&lt;'TAS Apr 2020'!P3),(0),($C$5-'TAS Apr 2020'!P3)*'TAS Apr 2020'!Q3/100),0)))</f>
        <v>1044.8181818181815</v>
      </c>
      <c r="I9" s="137">
        <f>SUM(C9:H9)</f>
        <v>1287.8214545454543</v>
      </c>
      <c r="J9" s="137">
        <f>(I9-C9)*4</f>
        <v>4807.2727272727261</v>
      </c>
      <c r="K9" s="137">
        <f>I9*4</f>
        <v>5151.2858181818174</v>
      </c>
      <c r="L9" s="138">
        <f>K9*1.1</f>
        <v>5666.4143999999997</v>
      </c>
      <c r="M9" s="132">
        <f>'TAS Apr 2020'!BC3</f>
        <v>0</v>
      </c>
      <c r="N9" s="132">
        <f>'TAS Apr 2020'!BD3</f>
        <v>0</v>
      </c>
      <c r="O9" s="132">
        <f>'TAS Apr 2020'!BE3</f>
        <v>0</v>
      </c>
      <c r="P9" s="132">
        <f>'TAS Apr 2020'!BF3</f>
        <v>5</v>
      </c>
      <c r="Q9" s="132" t="str">
        <f>IF(SUM(M9:P9)=0,"No discount",IF(M9&gt;0,"Guaranteed off bill",IF(N9&gt;0,"Guaranteed off usage",IF(O9&gt;0,"Pay-on-time off bill","Pay-on-time off usage"))))</f>
        <v>Pay-on-time off usage</v>
      </c>
      <c r="R9" s="132" t="str">
        <f t="shared" si="0"/>
        <v>Exclusive</v>
      </c>
      <c r="S9" s="221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5151.2858181818174</v>
      </c>
      <c r="T9" s="222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4910.9221818181813</v>
      </c>
      <c r="U9" s="138">
        <f>S9*1.1</f>
        <v>5666.4143999999997</v>
      </c>
      <c r="V9" s="138">
        <f>T9*1.1</f>
        <v>5402.0144</v>
      </c>
      <c r="W9" s="154">
        <f>'TAS Apr 2020'!BM3</f>
        <v>0</v>
      </c>
      <c r="X9" s="155">
        <f>'TAS Apr 2020'!BN3</f>
        <v>0</v>
      </c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</row>
    <row r="10" spans="1:53" x14ac:dyDescent="0.15"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</row>
    <row r="11" spans="1:53" ht="15" thickBot="1" x14ac:dyDescent="0.2"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</row>
    <row r="12" spans="1:53" x14ac:dyDescent="0.15">
      <c r="A12" s="62" t="s">
        <v>96</v>
      </c>
      <c r="B12" s="63"/>
      <c r="C12" s="63"/>
      <c r="D12" s="79"/>
      <c r="E12" s="79"/>
      <c r="F12" s="79"/>
      <c r="G12" s="79"/>
      <c r="H12" s="79"/>
      <c r="I12" s="80"/>
      <c r="J12" s="80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5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</row>
    <row r="13" spans="1:53" x14ac:dyDescent="0.15">
      <c r="A13" s="66" t="s">
        <v>79</v>
      </c>
      <c r="B13" s="64"/>
      <c r="C13" s="85">
        <v>5000</v>
      </c>
      <c r="D13" s="81"/>
      <c r="E13" s="81"/>
      <c r="F13" s="81"/>
      <c r="G13" s="81"/>
      <c r="H13" s="81"/>
      <c r="I13" s="82"/>
      <c r="J13" s="82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7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</row>
    <row r="14" spans="1:53" x14ac:dyDescent="0.15">
      <c r="A14" s="66" t="s">
        <v>97</v>
      </c>
      <c r="B14" s="64"/>
      <c r="C14" s="86">
        <v>0.7</v>
      </c>
      <c r="D14" s="81"/>
      <c r="E14" s="81"/>
      <c r="F14" s="81"/>
      <c r="G14" s="81"/>
      <c r="H14" s="81"/>
      <c r="I14" s="82"/>
      <c r="J14" s="82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7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</row>
    <row r="15" spans="1:53" x14ac:dyDescent="0.15">
      <c r="A15" s="66" t="s">
        <v>148</v>
      </c>
      <c r="B15" s="64"/>
      <c r="C15" s="86">
        <v>0.3</v>
      </c>
      <c r="D15" s="81"/>
      <c r="E15" s="81"/>
      <c r="F15" s="81"/>
      <c r="G15" s="81"/>
      <c r="H15" s="81"/>
      <c r="I15" s="82"/>
      <c r="J15" s="82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7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</row>
    <row r="16" spans="1:53" x14ac:dyDescent="0.15">
      <c r="A16" s="66"/>
      <c r="B16" s="64"/>
      <c r="C16" s="81"/>
      <c r="D16" s="81"/>
      <c r="E16" s="81"/>
      <c r="F16" s="81"/>
      <c r="G16" s="81"/>
      <c r="H16" s="81"/>
      <c r="I16" s="82"/>
      <c r="J16" s="8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7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</row>
    <row r="17" spans="1:53" ht="75" x14ac:dyDescent="0.15">
      <c r="A17" s="251" t="s">
        <v>73</v>
      </c>
      <c r="B17" s="147" t="s">
        <v>80</v>
      </c>
      <c r="C17" s="141" t="s">
        <v>81</v>
      </c>
      <c r="D17" s="141" t="s">
        <v>82</v>
      </c>
      <c r="E17" s="141" t="s">
        <v>83</v>
      </c>
      <c r="F17" s="141" t="s">
        <v>84</v>
      </c>
      <c r="G17" s="141" t="s">
        <v>86</v>
      </c>
      <c r="H17" s="141" t="s">
        <v>96</v>
      </c>
      <c r="I17" s="141" t="s">
        <v>87</v>
      </c>
      <c r="J17" s="252" t="s">
        <v>243</v>
      </c>
      <c r="K17" s="253" t="s">
        <v>61</v>
      </c>
      <c r="L17" s="142" t="s">
        <v>246</v>
      </c>
      <c r="M17" s="143" t="s">
        <v>62</v>
      </c>
      <c r="N17" s="143" t="s">
        <v>63</v>
      </c>
      <c r="O17" s="143" t="s">
        <v>64</v>
      </c>
      <c r="P17" s="143" t="s">
        <v>65</v>
      </c>
      <c r="Q17" s="254" t="s">
        <v>244</v>
      </c>
      <c r="R17" s="254" t="s">
        <v>245</v>
      </c>
      <c r="S17" s="255" t="s">
        <v>66</v>
      </c>
      <c r="T17" s="255" t="s">
        <v>67</v>
      </c>
      <c r="U17" s="144" t="s">
        <v>25</v>
      </c>
      <c r="V17" s="144" t="s">
        <v>26</v>
      </c>
      <c r="W17" s="143" t="s">
        <v>68</v>
      </c>
      <c r="X17" s="145" t="s">
        <v>95</v>
      </c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</row>
    <row r="18" spans="1:53" x14ac:dyDescent="0.15">
      <c r="A18" s="182" t="str">
        <f>'TAS Apr 2020'!K4</f>
        <v>Aurora Energy</v>
      </c>
      <c r="B18" s="183" t="str">
        <f>'TAS Apr 2020'!L4</f>
        <v>Regulated</v>
      </c>
      <c r="C18" s="184">
        <f>IF('TAS Apr 2020'!BQ4=0,91*'TAS Apr 2020'!M4/100,(91*'TAS Apr 2020'!M4/100)+'TAS Apr 2020'!BQ4/4)</f>
        <v>101.42859999999999</v>
      </c>
      <c r="D18" s="184">
        <f>IF('TAS Apr 2020'!O4="",$C$13*$C$14*'TAS Apr 2020'!N4/100,IF($C$13*$C$14&gt;='TAS Apr 2020'!P4,('TAS Apr 2020'!P4*'TAS Apr 2020'!N4/100),($C$13*$C$14*'TAS Apr 2020'!N4/100)))</f>
        <v>156.99999999999997</v>
      </c>
      <c r="E18" s="184">
        <f>IF(AND('TAS Apr 2020'!P4&gt;0,'TAS Apr 2020'!R4&gt;0),IF($C$13*$C$14&lt;'TAS Apr 2020'!P4,0,IF($C$13*$C$14&lt;=('TAS Apr 2020'!R4+'TAS Apr 2020'!P4),(($C$13*$C$14-'TAS Apr 2020'!P4)*'TAS Apr 2020'!Q4/100),(('TAS Apr 2020'!R4)*'TAS Apr 2020'!Q4/100))),0)</f>
        <v>0</v>
      </c>
      <c r="F18" s="184">
        <f>IF(AND('TAS Apr 2020'!Q2&gt;0,'TAS Apr 2020'!S2&gt;0),IF($C$13*$C$14&lt;('TAS Apr 2020'!R2+'TAS Apr 2020'!P2),0,IF($C$13*$C$14&lt;=('TAS Apr 2020'!T2+'TAS Apr 2020'!R2+'TAS Apr 2020'!P2),(($C$13*$C$14-('TAS Apr 2020'!R2+'TAS Apr 2020'!P2))*'TAS Apr 2020'!S2/100),('TAS Apr 2020'!T2*'TAS Apr 2020'!S2/100))),0)</f>
        <v>0</v>
      </c>
      <c r="G18" s="184">
        <f>IF(AND('TAS Apr 2020'!R4&gt;0,'TAS Apr 2020'!T4&gt;0),IF(($C$13*$C$14&lt;'TAS Apr 2020'!T4),(0),($C$13*$C$14-'TAS Apr 2020'!T4)*'TAS Apr 2020'!U4/100),IF(AND('TAS Apr 2020'!R4&gt;0,'TAS Apr 2020'!T4=""),IF(($C$13*$C$14&lt;'TAS Apr 2020'!R4+'TAS Apr 2020'!P4),(0),(($C$13*$C$14-('TAS Apr 2020'!R4+'TAS Apr 2020'!P4))*'TAS Apr 2020'!S4/100)),IF(AND('TAS Apr 2020'!P4&gt;0,'TAS Apr 2020'!R4=""&gt;0),IF(($C$13*$C$14&lt;'TAS Apr 2020'!P4),(0),($C$13*$C$14-'TAS Apr 2020'!P4)*'TAS Apr 2020'!Q4/100),0)))</f>
        <v>696.9</v>
      </c>
      <c r="H18" s="186">
        <f>($C$13*$C$15)*'TAS Apr 2020'!AF4/100</f>
        <v>223.05</v>
      </c>
      <c r="I18" s="187">
        <f>SUM(C18:H18)</f>
        <v>1178.3786</v>
      </c>
      <c r="J18" s="187">
        <f>(I18-C18)*4</f>
        <v>4307.8</v>
      </c>
      <c r="K18" s="187">
        <f>I18*4</f>
        <v>4713.5144</v>
      </c>
      <c r="L18" s="188">
        <f>K18*1.1</f>
        <v>5184.8658400000004</v>
      </c>
      <c r="M18" s="189">
        <f>'TAS Apr 2020'!BC4</f>
        <v>0</v>
      </c>
      <c r="N18" s="189">
        <f>'TAS Apr 2020'!BD4</f>
        <v>0</v>
      </c>
      <c r="O18" s="189">
        <f>'TAS Apr 2020'!BE4</f>
        <v>0</v>
      </c>
      <c r="P18" s="189">
        <f>'TAS Apr 2020'!BF4</f>
        <v>0</v>
      </c>
      <c r="Q18" s="189" t="str">
        <f>IF(SUM(M18:P18)=0,"No discount",IF(M18&gt;0,"Guaranteed off bill",IF(N18&gt;0,"Guaranteed off usage",IF(O18&gt;0,"Pay-on-time off bill","Pay-on-time off usage"))))</f>
        <v>No discount</v>
      </c>
      <c r="R18" s="189" t="str">
        <f t="shared" ref="R18:R19" si="1">IF(OR(A18="Origin Energy",A18="Red Energy",A18="Powershop"),"Inclusive","Exclusive")</f>
        <v>Exclusive</v>
      </c>
      <c r="S18" s="220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4713.5144</v>
      </c>
      <c r="T18" s="220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4713.5144</v>
      </c>
      <c r="U18" s="188">
        <f t="shared" ref="U18:U19" si="2">IF(R18="Exclusive",S18*1.1,S18)</f>
        <v>5184.8658400000004</v>
      </c>
      <c r="V18" s="188">
        <f t="shared" ref="V18:V19" si="3">IF(R18="Exclusive",T18*1.1,T18)</f>
        <v>5184.8658400000004</v>
      </c>
      <c r="W18" s="190">
        <f>'TAS Apr 2020'!BM4</f>
        <v>0</v>
      </c>
      <c r="X18" s="191" t="str">
        <f>'TAS Apr 2020'!BN4</f>
        <v>n</v>
      </c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</row>
    <row r="19" spans="1:53" ht="15" thickBot="1" x14ac:dyDescent="0.2">
      <c r="A19" s="153" t="str">
        <f>'TAS Apr 2020'!K5</f>
        <v>1st Energy</v>
      </c>
      <c r="B19" s="160" t="str">
        <f>'TAS Apr 2020'!L5</f>
        <v>1st Saver</v>
      </c>
      <c r="C19" s="133">
        <f>IF('TAS Apr 2020'!BQ5=0,91*'TAS Apr 2020'!M5/100,(91*'TAS Apr 2020'!M5/100)+'TAS Apr 2020'!BQ5/4)</f>
        <v>101.41536363636364</v>
      </c>
      <c r="D19" s="133">
        <f>IF('TAS Apr 2020'!O5="",$C$13*$C$14*'TAS Apr 2020'!N5/100,IF($C$13*$C$14&gt;='TAS Apr 2020'!P5,('TAS Apr 2020'!P5*'TAS Apr 2020'!N5/100),($C$13*$C$14*'TAS Apr 2020'!N5/100)))</f>
        <v>156.99999999999997</v>
      </c>
      <c r="E19" s="133">
        <f>IF(AND('TAS Apr 2020'!P5&gt;0,'TAS Apr 2020'!R5&gt;0),IF($C$13*$C$14&lt;'TAS Apr 2020'!P5,0,IF($C$13*$C$14&lt;=('TAS Apr 2020'!R5+'TAS Apr 2020'!P5),(($C$13*$C$14-'TAS Apr 2020'!P5)*'TAS Apr 2020'!Q5/100),(('TAS Apr 2020'!R5)*'TAS Apr 2020'!Q5/100))),0)</f>
        <v>0</v>
      </c>
      <c r="F19" s="133">
        <f>IF(AND('TAS Apr 2020'!Q3&gt;0,'TAS Apr 2020'!S3&gt;0),IF($C$13*$C$14&lt;('TAS Apr 2020'!R3+'TAS Apr 2020'!P3),0,IF($C$13*$C$14&lt;=('TAS Apr 2020'!T3+'TAS Apr 2020'!R3+'TAS Apr 2020'!P3),(($C$13*$C$14-('TAS Apr 2020'!R3+'TAS Apr 2020'!P3))*'TAS Apr 2020'!S3/100),('TAS Apr 2020'!T3*'TAS Apr 2020'!S3/100))),0)</f>
        <v>0</v>
      </c>
      <c r="G19" s="133">
        <f>IF(AND('TAS Apr 2020'!R5&gt;0,'TAS Apr 2020'!T5&gt;0),IF(($C$13*$C$14&lt;'TAS Apr 2020'!T5),(0),($C$13*$C$14-'TAS Apr 2020'!T5)*'TAS Apr 2020'!U5/100),IF(AND('TAS Apr 2020'!R5&gt;0,'TAS Apr 2020'!T5=""),IF(($C$13*$C$14&lt;'TAS Apr 2020'!R5+'TAS Apr 2020'!P5),(0),(($C$13*$C$14-('TAS Apr 2020'!R5+'TAS Apr 2020'!P5))*'TAS Apr 2020'!S5/100)),IF(AND('TAS Apr 2020'!P5&gt;0,'TAS Apr 2020'!R5=""&gt;0),IF(($C$13*$C$14&lt;'TAS Apr 2020'!P5),(0),($C$13*$C$14-'TAS Apr 2020'!P5)*'TAS Apr 2020'!Q5/100),0)))</f>
        <v>696.54545454545439</v>
      </c>
      <c r="H19" s="136">
        <f>($C$13*$C$15)*'TAS Apr 2020'!AF5/100</f>
        <v>223.09090909090909</v>
      </c>
      <c r="I19" s="137">
        <f>SUM(C19:H19)</f>
        <v>1178.051727272727</v>
      </c>
      <c r="J19" s="137">
        <f>(I19-C19)*4</f>
        <v>4306.5454545454531</v>
      </c>
      <c r="K19" s="137">
        <f>I19*4</f>
        <v>4712.2069090909081</v>
      </c>
      <c r="L19" s="138">
        <f>K19*1.1</f>
        <v>5183.4275999999991</v>
      </c>
      <c r="M19" s="132">
        <f>'TAS Apr 2020'!BC5</f>
        <v>0</v>
      </c>
      <c r="N19" s="132">
        <f>'TAS Apr 2020'!BD5</f>
        <v>0</v>
      </c>
      <c r="O19" s="132">
        <f>'TAS Apr 2020'!BE5</f>
        <v>0</v>
      </c>
      <c r="P19" s="132">
        <f>'TAS Apr 2020'!BF5</f>
        <v>5</v>
      </c>
      <c r="Q19" s="132" t="str">
        <f>IF(SUM(M19:P19)=0,"No discount",IF(M19&gt;0,"Guaranteed off bill",IF(N19&gt;0,"Guaranteed off usage",IF(O19&gt;0,"Pay-on-time off bill","Pay-on-time off usage"))))</f>
        <v>Pay-on-time off usage</v>
      </c>
      <c r="R19" s="132" t="str">
        <f t="shared" si="1"/>
        <v>Exclusive</v>
      </c>
      <c r="S19" s="221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4712.2069090909081</v>
      </c>
      <c r="T19" s="222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4496.8796363636357</v>
      </c>
      <c r="U19" s="138">
        <f t="shared" si="2"/>
        <v>5183.4275999999991</v>
      </c>
      <c r="V19" s="138">
        <f t="shared" si="3"/>
        <v>4946.5675999999994</v>
      </c>
      <c r="W19" s="154">
        <f>'TAS Apr 2020'!BM5</f>
        <v>0</v>
      </c>
      <c r="X19" s="155">
        <f>'TAS Apr 2020'!BN5</f>
        <v>0</v>
      </c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264"/>
      <c r="AW19" s="264"/>
      <c r="AX19" s="264"/>
      <c r="AY19" s="264"/>
      <c r="AZ19" s="264"/>
      <c r="BA19" s="264"/>
    </row>
    <row r="20" spans="1:53" x14ac:dyDescent="0.15"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</row>
    <row r="21" spans="1:53" ht="15" thickBot="1" x14ac:dyDescent="0.2">
      <c r="S21" s="263"/>
      <c r="U21" s="263"/>
      <c r="V21" s="263"/>
      <c r="W21" s="263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4"/>
      <c r="BA21" s="264"/>
    </row>
    <row r="22" spans="1:53" x14ac:dyDescent="0.15">
      <c r="A22" s="62" t="s">
        <v>33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5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  <c r="AP22" s="264"/>
      <c r="AQ22" s="264"/>
      <c r="AR22" s="264"/>
      <c r="AS22" s="264"/>
      <c r="AT22" s="264"/>
      <c r="AU22" s="264"/>
      <c r="AV22" s="264"/>
      <c r="AW22" s="264"/>
      <c r="AX22" s="264"/>
      <c r="AY22" s="264"/>
      <c r="AZ22" s="264"/>
      <c r="BA22" s="264"/>
    </row>
    <row r="23" spans="1:53" x14ac:dyDescent="0.15">
      <c r="A23" s="66" t="s">
        <v>22</v>
      </c>
      <c r="B23" s="64"/>
      <c r="C23" s="85">
        <v>5000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7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4"/>
      <c r="AU23" s="264"/>
      <c r="AV23" s="264"/>
      <c r="AW23" s="264"/>
      <c r="AX23" s="264"/>
      <c r="AY23" s="264"/>
      <c r="AZ23" s="264"/>
      <c r="BA23" s="264"/>
    </row>
    <row r="24" spans="1:53" x14ac:dyDescent="0.15">
      <c r="A24" s="66" t="s">
        <v>23</v>
      </c>
      <c r="B24" s="64"/>
      <c r="C24" s="86">
        <v>0.3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7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4"/>
    </row>
    <row r="25" spans="1:53" x14ac:dyDescent="0.15">
      <c r="A25" s="66" t="s">
        <v>24</v>
      </c>
      <c r="B25" s="64"/>
      <c r="C25" s="86">
        <v>0.4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7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4"/>
      <c r="AK25" s="264"/>
      <c r="AL25" s="264"/>
      <c r="AM25" s="264"/>
      <c r="AN25" s="264"/>
      <c r="AO25" s="264"/>
      <c r="AP25" s="264"/>
      <c r="AQ25" s="264"/>
      <c r="AR25" s="264"/>
      <c r="AS25" s="264"/>
      <c r="AT25" s="264"/>
      <c r="AU25" s="264"/>
      <c r="AV25" s="264"/>
      <c r="AW25" s="264"/>
      <c r="AX25" s="264"/>
      <c r="AY25" s="264"/>
      <c r="AZ25" s="264"/>
      <c r="BA25" s="264"/>
    </row>
    <row r="26" spans="1:53" x14ac:dyDescent="0.15">
      <c r="A26" s="66" t="s">
        <v>21</v>
      </c>
      <c r="B26" s="64"/>
      <c r="C26" s="86">
        <v>0.3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7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</row>
    <row r="27" spans="1:53" x14ac:dyDescent="0.15">
      <c r="A27" s="66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7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  <c r="AN27" s="264"/>
      <c r="AO27" s="264"/>
      <c r="AP27" s="264"/>
      <c r="AQ27" s="264"/>
      <c r="AR27" s="264"/>
      <c r="AS27" s="264"/>
      <c r="AT27" s="264"/>
      <c r="AU27" s="264"/>
      <c r="AV27" s="264"/>
      <c r="AW27" s="264"/>
      <c r="AX27" s="264"/>
      <c r="AY27" s="264"/>
      <c r="AZ27" s="264"/>
      <c r="BA27" s="264"/>
    </row>
    <row r="28" spans="1:53" ht="75" x14ac:dyDescent="0.15">
      <c r="A28" s="251" t="s">
        <v>35</v>
      </c>
      <c r="B28" s="147" t="s">
        <v>36</v>
      </c>
      <c r="C28" s="141" t="s">
        <v>27</v>
      </c>
      <c r="D28" s="141" t="s">
        <v>153</v>
      </c>
      <c r="E28" s="141" t="s">
        <v>83</v>
      </c>
      <c r="F28" s="141" t="s">
        <v>154</v>
      </c>
      <c r="G28" s="141" t="s">
        <v>155</v>
      </c>
      <c r="H28" s="141" t="s">
        <v>156</v>
      </c>
      <c r="I28" s="141" t="s">
        <v>87</v>
      </c>
      <c r="J28" s="252" t="s">
        <v>243</v>
      </c>
      <c r="K28" s="253" t="s">
        <v>157</v>
      </c>
      <c r="L28" s="142" t="s">
        <v>246</v>
      </c>
      <c r="M28" s="143" t="s">
        <v>94</v>
      </c>
      <c r="N28" s="143" t="s">
        <v>123</v>
      </c>
      <c r="O28" s="143" t="s">
        <v>124</v>
      </c>
      <c r="P28" s="143" t="s">
        <v>125</v>
      </c>
      <c r="Q28" s="254" t="s">
        <v>244</v>
      </c>
      <c r="R28" s="254" t="s">
        <v>245</v>
      </c>
      <c r="S28" s="255" t="s">
        <v>66</v>
      </c>
      <c r="T28" s="255" t="s">
        <v>67</v>
      </c>
      <c r="U28" s="144" t="s">
        <v>25</v>
      </c>
      <c r="V28" s="144" t="s">
        <v>26</v>
      </c>
      <c r="W28" s="143" t="s">
        <v>55</v>
      </c>
      <c r="X28" s="145" t="s">
        <v>160</v>
      </c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4"/>
    </row>
    <row r="29" spans="1:53" x14ac:dyDescent="0.15">
      <c r="A29" s="182" t="str">
        <f>'TAS Apr 2020'!K6</f>
        <v>Aurora Energy</v>
      </c>
      <c r="B29" s="183" t="str">
        <f>'TAS Apr 2020'!L6</f>
        <v>Regulated</v>
      </c>
      <c r="C29" s="184">
        <f>IF('TAS Apr 2020'!BQ6=0,91*'TAS Apr 2020'!M6/100,(91*'TAS Apr 2020'!M6/100)+'TAS Apr 2020'!BQ6/4)</f>
        <v>93.159181818181807</v>
      </c>
      <c r="D29" s="184">
        <f>IF('TAS Apr 2020'!O6="",$C$23*$C$24*'TAS Apr 2020'!N6/100,IF($C$23*$C$24&gt;='TAS Apr 2020'!P6,('TAS Apr 2020'!P6*'TAS Apr 2020'!N6/100),($C$23*$C$24*'TAS Apr 2020'!N6/100)))</f>
        <v>388.22727272727275</v>
      </c>
      <c r="E29" s="184">
        <f>IF(AND('TAS Apr 2020'!P6&gt;0,'TAS Apr 2020'!R6&gt;0),IF($C$23*$C$24&lt;'TAS Apr 2020'!P6,0,IF($C$23*$C$24&lt;=('TAS Apr 2020'!R6+'TAS Apr 2020'!P6),(($C$23*$C$24-'TAS Apr 2020'!P6)*'TAS Apr 2020'!Q6/100),(('TAS Apr 2020'!R6)*'TAS Apr 2020'!Q6/100))),0)</f>
        <v>0</v>
      </c>
      <c r="F29" s="184">
        <f>IF(AND('TAS Apr 2020'!R6&gt;0,'TAS Apr 2020'!T6&gt;0),IF(($C$23*$C$24&lt;'TAS Apr 2020'!T6),(0),($C$23*$C$244-'TAS Apr 2020'!T6)*'TAS Apr 2020'!U6/100),IF(AND('TAS Apr 2020'!R6&gt;0,'TAS Apr 2020'!T6=""),IF(($C$23*$C$24&lt;'TAS Apr 2020'!R6+'TAS Apr 2020'!P6),(0),(($C$23*$C$24-('TAS Apr 2020'!R6+'TAS Apr 2020'!P6))*'TAS Apr 2020'!S6/100)),IF(AND('TAS Apr 2020'!P6&gt;0,'TAS Apr 2020'!R6=""&gt;0),IF(($C$23*$C$24&lt;'TAS Apr 2020'!P6),(0),($C$23*$C$24-'TAS Apr 2020'!P6)*'TAS Apr 2020'!Q6/100),0)))</f>
        <v>0</v>
      </c>
      <c r="G29" s="185">
        <f>($C$23*$C$25)*'TAS Apr 2020'!AI6/100</f>
        <v>373.45454545454544</v>
      </c>
      <c r="H29" s="186">
        <f>($C$23*$C$26)*'TAS Apr 2020'!W6/100</f>
        <v>163.90909090909088</v>
      </c>
      <c r="I29" s="187">
        <f>SUM(C29:H29)</f>
        <v>1018.7500909090909</v>
      </c>
      <c r="J29" s="187">
        <f>(I29-C29)*4</f>
        <v>3702.3636363636365</v>
      </c>
      <c r="K29" s="187">
        <f>I29*4</f>
        <v>4075.0003636363635</v>
      </c>
      <c r="L29" s="188">
        <f>K29*1.1</f>
        <v>4482.5003999999999</v>
      </c>
      <c r="M29" s="189">
        <f>'TAS Apr 2020'!BC6</f>
        <v>0</v>
      </c>
      <c r="N29" s="189">
        <f>'TAS Apr 2020'!BD6</f>
        <v>0</v>
      </c>
      <c r="O29" s="189">
        <f>'TAS Apr 2020'!BE6</f>
        <v>0</v>
      </c>
      <c r="P29" s="189">
        <f>'TAS Apr 2020'!BF6</f>
        <v>0</v>
      </c>
      <c r="Q29" s="189" t="str">
        <f>IF(SUM(M29:P29)=0,"No discount",IF(M29&gt;0,"Guaranteed off bill",IF(N29&gt;0,"Guaranteed off usage",IF(O29&gt;0,"Pay-on-time off bill","Pay-on-time off usage"))))</f>
        <v>No discount</v>
      </c>
      <c r="R29" s="189" t="str">
        <f t="shared" ref="R29:R30" si="4">IF(OR(A29="Origin Energy",A29="Red Energy",A29="Powershop"),"Inclusive","Exclusive")</f>
        <v>Exclusive</v>
      </c>
      <c r="S29" s="223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4075.0003636363635</v>
      </c>
      <c r="T29" s="224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4075.0003636363635</v>
      </c>
      <c r="U29" s="188">
        <f t="shared" ref="U29:U30" si="5">IF(R29="Exclusive",S29*1.1,S29)</f>
        <v>4482.5003999999999</v>
      </c>
      <c r="V29" s="188">
        <f t="shared" ref="V29:V30" si="6">IF(R29="Exclusive",T29*1.1,T29)</f>
        <v>4482.5003999999999</v>
      </c>
      <c r="W29" s="190">
        <f>'TAS Apr 2020'!BM6</f>
        <v>0</v>
      </c>
      <c r="X29" s="191" t="str">
        <f>'TAS Apr 2020'!BN6</f>
        <v>n</v>
      </c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  <c r="AT29" s="264"/>
      <c r="AU29" s="264"/>
      <c r="AV29" s="264"/>
      <c r="AW29" s="264"/>
      <c r="AX29" s="264"/>
      <c r="AY29" s="264"/>
      <c r="AZ29" s="264"/>
      <c r="BA29" s="264"/>
    </row>
    <row r="30" spans="1:53" ht="15" thickBot="1" x14ac:dyDescent="0.2">
      <c r="A30" s="153" t="str">
        <f>'TAS Apr 2020'!K7</f>
        <v>1st Energy</v>
      </c>
      <c r="B30" s="160" t="str">
        <f>'TAS Apr 2020'!L7</f>
        <v>1st Saver</v>
      </c>
      <c r="C30" s="133">
        <f>IF('TAS Apr 2020'!BQ7=0,91*'TAS Apr 2020'!M7/100,(91*'TAS Apr 2020'!M7/100)+'TAS Apr 2020'!BQ7/4)</f>
        <v>93.159181818181807</v>
      </c>
      <c r="D30" s="133">
        <f>IF('TAS Apr 2020'!O7="",$C$23*$C$24*'TAS Apr 2020'!N7/100,IF($C$23*$C$24&gt;='TAS Apr 2020'!P7,('TAS Apr 2020'!P7*'TAS Apr 2020'!N7/100),($C$23*$C$24*'TAS Apr 2020'!N7/100)))</f>
        <v>387.54545454545456</v>
      </c>
      <c r="E30" s="133">
        <f>IF(AND('TAS Apr 2020'!P7&gt;0,'TAS Apr 2020'!R7&gt;0),IF($C$23*$C$24&lt;'TAS Apr 2020'!P7,0,IF($C$23*$C$24&lt;=('TAS Apr 2020'!R7+'TAS Apr 2020'!P7),(($C$23*$C$24-'TAS Apr 2020'!P7)*'TAS Apr 2020'!Q7/100),(('TAS Apr 2020'!R7)*'TAS Apr 2020'!Q7/100))),0)</f>
        <v>0</v>
      </c>
      <c r="F30" s="133">
        <f>IF(AND('TAS Apr 2020'!R7&gt;0,'TAS Apr 2020'!T7&gt;0),IF(($C$23*$C$24&lt;'TAS Apr 2020'!T7),(0),($C$23*$C$244-'TAS Apr 2020'!T7)*'TAS Apr 2020'!U7/100),IF(AND('TAS Apr 2020'!R7&gt;0,'TAS Apr 2020'!T7=""),IF(($C$23*$C$24&lt;'TAS Apr 2020'!R7+'TAS Apr 2020'!P7),(0),(($C$23*$C$24-('TAS Apr 2020'!R7+'TAS Apr 2020'!P7))*'TAS Apr 2020'!S7/100)),IF(AND('TAS Apr 2020'!P7&gt;0,'TAS Apr 2020'!R7=""&gt;0),IF(($C$23*$C$24&lt;'TAS Apr 2020'!P7),(0),($C$23*$C$24-'TAS Apr 2020'!P7)*'TAS Apr 2020'!Q7/100),0)))</f>
        <v>0</v>
      </c>
      <c r="G30" s="135">
        <f>($C$23*$C$25)*'TAS Apr 2020'!AI7/100</f>
        <v>366.2</v>
      </c>
      <c r="H30" s="136">
        <f>($C$23*$C$26)*'TAS Apr 2020'!W7/100</f>
        <v>163.77272727272725</v>
      </c>
      <c r="I30" s="137">
        <f>SUM(C30:H30)</f>
        <v>1010.6773636363637</v>
      </c>
      <c r="J30" s="137">
        <f>(I30-C30)*4</f>
        <v>3670.0727272727277</v>
      </c>
      <c r="K30" s="137">
        <f>I30*4</f>
        <v>4042.7094545454547</v>
      </c>
      <c r="L30" s="138">
        <f>K30*1.1</f>
        <v>4446.9804000000004</v>
      </c>
      <c r="M30" s="132">
        <f>'TAS Apr 2020'!BC7</f>
        <v>0</v>
      </c>
      <c r="N30" s="132">
        <f>'TAS Apr 2020'!BD7</f>
        <v>0</v>
      </c>
      <c r="O30" s="132">
        <f>'TAS Apr 2020'!BE7</f>
        <v>0</v>
      </c>
      <c r="P30" s="132">
        <f>'TAS Apr 2020'!BF7</f>
        <v>5</v>
      </c>
      <c r="Q30" s="132" t="str">
        <f>IF(SUM(M30:P30)=0,"No discount",IF(M30&gt;0,"Guaranteed off bill",IF(N30&gt;0,"Guaranteed off usage",IF(O30&gt;0,"Pay-on-time off bill","Pay-on-time off usage"))))</f>
        <v>Pay-on-time off usage</v>
      </c>
      <c r="R30" s="132" t="str">
        <f t="shared" si="4"/>
        <v>Exclusive</v>
      </c>
      <c r="S30" s="221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4042.7094545454547</v>
      </c>
      <c r="T30" s="222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3859.2058181818184</v>
      </c>
      <c r="U30" s="138">
        <f t="shared" si="5"/>
        <v>4446.9804000000004</v>
      </c>
      <c r="V30" s="138">
        <f t="shared" si="6"/>
        <v>4245.1264000000001</v>
      </c>
      <c r="W30" s="154">
        <f>'TAS Apr 2020'!BM7</f>
        <v>0</v>
      </c>
      <c r="X30" s="155">
        <f>'TAS Apr 2020'!BN7</f>
        <v>0</v>
      </c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</row>
    <row r="31" spans="1:53" x14ac:dyDescent="0.15"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</row>
    <row r="32" spans="1:53" x14ac:dyDescent="0.15">
      <c r="S32" s="265"/>
      <c r="T32" s="265"/>
      <c r="U32" s="265"/>
      <c r="V32" s="265"/>
      <c r="W32" s="265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264"/>
      <c r="AZ32" s="264"/>
      <c r="BA32" s="264"/>
    </row>
    <row r="33" spans="19:53" x14ac:dyDescent="0.15">
      <c r="S33" s="265"/>
      <c r="T33" s="265"/>
      <c r="U33" s="265"/>
      <c r="V33" s="265"/>
      <c r="W33" s="265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</row>
    <row r="34" spans="19:53" x14ac:dyDescent="0.15">
      <c r="S34" s="265"/>
      <c r="T34" s="265"/>
      <c r="U34" s="265"/>
      <c r="V34" s="265"/>
      <c r="W34" s="265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</row>
    <row r="35" spans="19:53" x14ac:dyDescent="0.15">
      <c r="S35" s="265"/>
      <c r="T35" s="265"/>
      <c r="U35" s="265"/>
      <c r="V35" s="265"/>
      <c r="W35" s="265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264"/>
      <c r="AW35" s="264"/>
      <c r="AX35" s="264"/>
      <c r="AY35" s="264"/>
      <c r="AZ35" s="264"/>
      <c r="BA35" s="264"/>
    </row>
    <row r="36" spans="19:53" x14ac:dyDescent="0.15">
      <c r="S36" s="265"/>
      <c r="T36" s="265"/>
      <c r="U36" s="265"/>
      <c r="V36" s="265"/>
      <c r="W36" s="265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</row>
    <row r="37" spans="19:53" x14ac:dyDescent="0.15">
      <c r="S37" s="265"/>
      <c r="T37" s="265"/>
      <c r="U37" s="265"/>
      <c r="V37" s="265"/>
      <c r="W37" s="265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</row>
    <row r="38" spans="19:53" x14ac:dyDescent="0.15">
      <c r="S38" s="265"/>
      <c r="T38" s="265"/>
      <c r="U38" s="265"/>
      <c r="V38" s="265"/>
      <c r="W38" s="265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</row>
    <row r="39" spans="19:53" x14ac:dyDescent="0.15">
      <c r="S39" s="265"/>
      <c r="T39" s="265"/>
      <c r="U39" s="265"/>
      <c r="V39" s="265"/>
      <c r="W39" s="265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</row>
    <row r="40" spans="19:53" x14ac:dyDescent="0.15">
      <c r="S40" s="265"/>
      <c r="T40" s="265"/>
      <c r="U40" s="265"/>
      <c r="V40" s="265"/>
      <c r="W40" s="265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</row>
    <row r="41" spans="19:53" x14ac:dyDescent="0.15">
      <c r="S41" s="265"/>
      <c r="T41" s="265"/>
      <c r="U41" s="265"/>
      <c r="V41" s="265"/>
      <c r="W41" s="265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</row>
    <row r="42" spans="19:53" x14ac:dyDescent="0.15">
      <c r="S42" s="265"/>
      <c r="T42" s="265"/>
      <c r="U42" s="265"/>
      <c r="V42" s="265"/>
      <c r="W42" s="265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</row>
    <row r="43" spans="19:53" x14ac:dyDescent="0.15">
      <c r="S43" s="265"/>
      <c r="T43" s="265"/>
      <c r="U43" s="265"/>
      <c r="V43" s="265"/>
      <c r="W43" s="265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</row>
    <row r="44" spans="19:53" x14ac:dyDescent="0.15">
      <c r="S44" s="265"/>
      <c r="T44" s="265"/>
      <c r="U44" s="265"/>
      <c r="V44" s="265"/>
      <c r="W44" s="265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</row>
    <row r="45" spans="19:53" x14ac:dyDescent="0.15">
      <c r="S45" s="265"/>
      <c r="T45" s="265"/>
      <c r="U45" s="265"/>
      <c r="V45" s="265"/>
      <c r="W45" s="265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</row>
    <row r="46" spans="19:53" x14ac:dyDescent="0.15">
      <c r="S46" s="265"/>
      <c r="T46" s="265"/>
      <c r="U46" s="265"/>
      <c r="V46" s="265"/>
      <c r="W46" s="265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</row>
    <row r="47" spans="19:53" x14ac:dyDescent="0.15">
      <c r="S47" s="265"/>
      <c r="T47" s="265"/>
      <c r="U47" s="265"/>
      <c r="V47" s="265"/>
      <c r="W47" s="265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</row>
    <row r="48" spans="19:53" x14ac:dyDescent="0.15">
      <c r="S48" s="265"/>
      <c r="T48" s="265"/>
      <c r="U48" s="265"/>
      <c r="V48" s="265"/>
      <c r="W48" s="265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</row>
    <row r="49" spans="19:53" x14ac:dyDescent="0.15">
      <c r="S49" s="265"/>
      <c r="T49" s="265"/>
      <c r="U49" s="265"/>
      <c r="V49" s="265"/>
      <c r="W49" s="265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</row>
    <row r="50" spans="19:53" x14ac:dyDescent="0.15">
      <c r="S50" s="265"/>
      <c r="T50" s="265"/>
      <c r="U50" s="265"/>
      <c r="V50" s="265"/>
      <c r="W50" s="265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</row>
    <row r="51" spans="19:53" x14ac:dyDescent="0.15">
      <c r="S51" s="265"/>
      <c r="T51" s="265"/>
      <c r="U51" s="265"/>
      <c r="V51" s="265"/>
      <c r="W51" s="265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</row>
    <row r="52" spans="19:53" x14ac:dyDescent="0.15">
      <c r="S52" s="265"/>
      <c r="T52" s="265"/>
      <c r="U52" s="265"/>
      <c r="V52" s="265"/>
      <c r="W52" s="265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</row>
    <row r="53" spans="19:53" x14ac:dyDescent="0.15">
      <c r="S53" s="265"/>
      <c r="T53" s="265"/>
      <c r="U53" s="265"/>
      <c r="V53" s="265"/>
      <c r="W53" s="265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</row>
    <row r="54" spans="19:53" x14ac:dyDescent="0.15">
      <c r="S54" s="265"/>
      <c r="T54" s="265"/>
      <c r="U54" s="265"/>
      <c r="V54" s="265"/>
      <c r="W54" s="265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</row>
    <row r="55" spans="19:53" x14ac:dyDescent="0.15">
      <c r="S55" s="265"/>
      <c r="T55" s="265"/>
      <c r="U55" s="265"/>
      <c r="V55" s="265"/>
      <c r="W55" s="265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  <c r="AL55" s="264"/>
      <c r="AM55" s="264"/>
      <c r="AN55" s="264"/>
      <c r="AO55" s="264"/>
      <c r="AP55" s="264"/>
      <c r="AQ55" s="264"/>
      <c r="AR55" s="264"/>
      <c r="AS55" s="264"/>
      <c r="AT55" s="264"/>
      <c r="AU55" s="264"/>
      <c r="AV55" s="264"/>
      <c r="AW55" s="264"/>
      <c r="AX55" s="264"/>
      <c r="AY55" s="264"/>
      <c r="AZ55" s="264"/>
      <c r="BA55" s="264"/>
    </row>
    <row r="56" spans="19:53" x14ac:dyDescent="0.15">
      <c r="S56" s="265"/>
      <c r="T56" s="265"/>
      <c r="U56" s="265"/>
      <c r="V56" s="265"/>
      <c r="W56" s="265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  <c r="AM56" s="264"/>
      <c r="AN56" s="264"/>
      <c r="AO56" s="264"/>
      <c r="AP56" s="264"/>
      <c r="AQ56" s="264"/>
      <c r="AR56" s="264"/>
      <c r="AS56" s="264"/>
      <c r="AT56" s="264"/>
      <c r="AU56" s="264"/>
      <c r="AV56" s="264"/>
      <c r="AW56" s="264"/>
      <c r="AX56" s="264"/>
      <c r="AY56" s="264"/>
      <c r="AZ56" s="264"/>
      <c r="BA56" s="264"/>
    </row>
    <row r="57" spans="19:53" x14ac:dyDescent="0.15">
      <c r="S57" s="265"/>
      <c r="T57" s="265"/>
      <c r="U57" s="265"/>
      <c r="V57" s="265"/>
      <c r="W57" s="265"/>
      <c r="Y57" s="264"/>
      <c r="Z57" s="264"/>
      <c r="AA57" s="264"/>
      <c r="AB57" s="264"/>
      <c r="AC57" s="264"/>
      <c r="AD57" s="264"/>
      <c r="AE57" s="264"/>
      <c r="AF57" s="264"/>
      <c r="AG57" s="264"/>
      <c r="AH57" s="264"/>
      <c r="AI57" s="264"/>
      <c r="AJ57" s="264"/>
      <c r="AK57" s="264"/>
      <c r="AL57" s="264"/>
      <c r="AM57" s="264"/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</row>
    <row r="58" spans="19:53" x14ac:dyDescent="0.15">
      <c r="S58" s="265"/>
      <c r="T58" s="265"/>
      <c r="U58" s="265"/>
      <c r="V58" s="265"/>
      <c r="W58" s="265"/>
      <c r="Y58" s="264"/>
      <c r="Z58" s="264"/>
      <c r="AA58" s="264"/>
      <c r="AB58" s="264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4"/>
      <c r="AX58" s="264"/>
      <c r="AY58" s="264"/>
      <c r="AZ58" s="264"/>
      <c r="BA58" s="264"/>
    </row>
    <row r="59" spans="19:53" x14ac:dyDescent="0.15">
      <c r="S59" s="265"/>
      <c r="T59" s="265"/>
      <c r="U59" s="265"/>
      <c r="V59" s="265"/>
      <c r="W59" s="265"/>
      <c r="Y59" s="264"/>
      <c r="Z59" s="264"/>
      <c r="AA59" s="264"/>
      <c r="AB59" s="264"/>
      <c r="AC59" s="264"/>
      <c r="AD59" s="264"/>
      <c r="AE59" s="264"/>
      <c r="AF59" s="264"/>
      <c r="AG59" s="264"/>
      <c r="AH59" s="264"/>
      <c r="AI59" s="264"/>
      <c r="AJ59" s="264"/>
      <c r="AK59" s="264"/>
      <c r="AL59" s="264"/>
      <c r="AM59" s="264"/>
      <c r="AN59" s="264"/>
      <c r="AO59" s="264"/>
      <c r="AP59" s="264"/>
      <c r="AQ59" s="264"/>
      <c r="AR59" s="264"/>
      <c r="AS59" s="264"/>
      <c r="AT59" s="264"/>
      <c r="AU59" s="264"/>
      <c r="AV59" s="264"/>
      <c r="AW59" s="264"/>
      <c r="AX59" s="264"/>
      <c r="AY59" s="264"/>
      <c r="AZ59" s="264"/>
      <c r="BA59" s="264"/>
    </row>
    <row r="60" spans="19:53" x14ac:dyDescent="0.15">
      <c r="S60" s="265"/>
      <c r="T60" s="265"/>
      <c r="U60" s="265"/>
      <c r="V60" s="265"/>
      <c r="W60" s="265"/>
      <c r="Y60" s="264"/>
      <c r="Z60" s="264"/>
      <c r="AA60" s="264"/>
      <c r="AB60" s="264"/>
      <c r="AC60" s="264"/>
      <c r="AD60" s="264"/>
      <c r="AE60" s="264"/>
      <c r="AF60" s="264"/>
      <c r="AG60" s="264"/>
      <c r="AH60" s="264"/>
      <c r="AI60" s="264"/>
      <c r="AJ60" s="264"/>
      <c r="AK60" s="264"/>
      <c r="AL60" s="264"/>
      <c r="AM60" s="264"/>
      <c r="AN60" s="264"/>
      <c r="AO60" s="264"/>
      <c r="AP60" s="264"/>
      <c r="AQ60" s="264"/>
      <c r="AR60" s="264"/>
      <c r="AS60" s="264"/>
      <c r="AT60" s="264"/>
      <c r="AU60" s="264"/>
      <c r="AV60" s="264"/>
      <c r="AW60" s="264"/>
      <c r="AX60" s="264"/>
      <c r="AY60" s="264"/>
      <c r="AZ60" s="264"/>
      <c r="BA60" s="264"/>
    </row>
    <row r="61" spans="19:53" x14ac:dyDescent="0.15">
      <c r="S61" s="265"/>
      <c r="T61" s="265"/>
      <c r="U61" s="265"/>
      <c r="V61" s="265"/>
      <c r="W61" s="265"/>
      <c r="Y61" s="264"/>
      <c r="Z61" s="264"/>
      <c r="AA61" s="264"/>
      <c r="AB61" s="264"/>
      <c r="AC61" s="264"/>
      <c r="AD61" s="264"/>
      <c r="AE61" s="264"/>
      <c r="AF61" s="264"/>
      <c r="AG61" s="264"/>
      <c r="AH61" s="264"/>
      <c r="AI61" s="264"/>
      <c r="AJ61" s="264"/>
      <c r="AK61" s="264"/>
      <c r="AL61" s="264"/>
      <c r="AM61" s="264"/>
      <c r="AN61" s="264"/>
      <c r="AO61" s="264"/>
      <c r="AP61" s="264"/>
      <c r="AQ61" s="264"/>
      <c r="AR61" s="264"/>
      <c r="AS61" s="264"/>
      <c r="AT61" s="264"/>
      <c r="AU61" s="264"/>
      <c r="AV61" s="264"/>
      <c r="AW61" s="264"/>
      <c r="AX61" s="264"/>
      <c r="AY61" s="264"/>
      <c r="AZ61" s="264"/>
      <c r="BA61" s="264"/>
    </row>
    <row r="62" spans="19:53" x14ac:dyDescent="0.15">
      <c r="S62" s="265"/>
      <c r="T62" s="265"/>
      <c r="U62" s="265"/>
      <c r="V62" s="265"/>
      <c r="W62" s="265"/>
      <c r="Y62" s="264"/>
      <c r="Z62" s="264"/>
      <c r="AA62" s="264"/>
      <c r="AB62" s="264"/>
      <c r="AC62" s="264"/>
      <c r="AD62" s="264"/>
      <c r="AE62" s="264"/>
      <c r="AF62" s="264"/>
      <c r="AG62" s="264"/>
      <c r="AH62" s="264"/>
      <c r="AI62" s="264"/>
      <c r="AJ62" s="264"/>
      <c r="AK62" s="264"/>
      <c r="AL62" s="264"/>
      <c r="AM62" s="264"/>
      <c r="AN62" s="264"/>
      <c r="AO62" s="264"/>
      <c r="AP62" s="264"/>
      <c r="AQ62" s="264"/>
      <c r="AR62" s="264"/>
      <c r="AS62" s="264"/>
      <c r="AT62" s="264"/>
      <c r="AU62" s="264"/>
      <c r="AV62" s="264"/>
      <c r="AW62" s="264"/>
      <c r="AX62" s="264"/>
      <c r="AY62" s="264"/>
      <c r="AZ62" s="264"/>
      <c r="BA62" s="264"/>
    </row>
    <row r="63" spans="19:53" x14ac:dyDescent="0.15">
      <c r="S63" s="265"/>
      <c r="T63" s="265"/>
      <c r="U63" s="265"/>
      <c r="V63" s="265"/>
      <c r="W63" s="265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4"/>
      <c r="AJ63" s="264"/>
      <c r="AK63" s="264"/>
      <c r="AL63" s="264"/>
      <c r="AM63" s="264"/>
      <c r="AN63" s="264"/>
      <c r="AO63" s="264"/>
      <c r="AP63" s="264"/>
      <c r="AQ63" s="264"/>
      <c r="AR63" s="264"/>
      <c r="AS63" s="264"/>
      <c r="AT63" s="264"/>
      <c r="AU63" s="264"/>
      <c r="AV63" s="264"/>
      <c r="AW63" s="264"/>
      <c r="AX63" s="264"/>
      <c r="AY63" s="264"/>
      <c r="AZ63" s="264"/>
      <c r="BA63" s="264"/>
    </row>
    <row r="64" spans="19:53" x14ac:dyDescent="0.15">
      <c r="S64" s="265"/>
      <c r="T64" s="265"/>
      <c r="U64" s="265"/>
      <c r="V64" s="265"/>
      <c r="W64" s="265"/>
      <c r="Y64" s="264"/>
      <c r="Z64" s="264"/>
      <c r="AA64" s="264"/>
      <c r="AB64" s="264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  <c r="AN64" s="264"/>
      <c r="AO64" s="264"/>
      <c r="AP64" s="264"/>
      <c r="AQ64" s="264"/>
      <c r="AR64" s="264"/>
      <c r="AS64" s="264"/>
      <c r="AT64" s="264"/>
      <c r="AU64" s="264"/>
      <c r="AV64" s="264"/>
      <c r="AW64" s="264"/>
      <c r="AX64" s="264"/>
      <c r="AY64" s="264"/>
      <c r="AZ64" s="264"/>
      <c r="BA64" s="264"/>
    </row>
    <row r="65" spans="19:53" x14ac:dyDescent="0.15">
      <c r="S65" s="265"/>
      <c r="T65" s="265"/>
      <c r="U65" s="265"/>
      <c r="V65" s="265"/>
      <c r="W65" s="265"/>
      <c r="Y65" s="264"/>
      <c r="Z65" s="264"/>
      <c r="AA65" s="264"/>
      <c r="AB65" s="264"/>
      <c r="AC65" s="264"/>
      <c r="AD65" s="264"/>
      <c r="AE65" s="264"/>
      <c r="AF65" s="264"/>
      <c r="AG65" s="264"/>
      <c r="AH65" s="264"/>
      <c r="AI65" s="264"/>
      <c r="AJ65" s="264"/>
      <c r="AK65" s="264"/>
      <c r="AL65" s="264"/>
      <c r="AM65" s="264"/>
      <c r="AN65" s="264"/>
      <c r="AO65" s="264"/>
      <c r="AP65" s="264"/>
      <c r="AQ65" s="264"/>
      <c r="AR65" s="264"/>
      <c r="AS65" s="264"/>
      <c r="AT65" s="264"/>
      <c r="AU65" s="264"/>
      <c r="AV65" s="264"/>
      <c r="AW65" s="264"/>
      <c r="AX65" s="264"/>
      <c r="AY65" s="264"/>
      <c r="AZ65" s="264"/>
      <c r="BA65" s="264"/>
    </row>
    <row r="66" spans="19:53" x14ac:dyDescent="0.15">
      <c r="S66" s="265"/>
      <c r="T66" s="265"/>
      <c r="U66" s="265"/>
      <c r="V66" s="265"/>
      <c r="W66" s="265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264"/>
      <c r="AW66" s="264"/>
      <c r="AX66" s="264"/>
      <c r="AY66" s="264"/>
      <c r="AZ66" s="264"/>
      <c r="BA66" s="264"/>
    </row>
    <row r="67" spans="19:53" x14ac:dyDescent="0.15">
      <c r="S67" s="265"/>
      <c r="T67" s="265"/>
      <c r="U67" s="265"/>
      <c r="V67" s="265"/>
      <c r="W67" s="265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  <c r="AN67" s="264"/>
      <c r="AO67" s="264"/>
      <c r="AP67" s="264"/>
      <c r="AQ67" s="264"/>
      <c r="AR67" s="264"/>
      <c r="AS67" s="264"/>
      <c r="AT67" s="264"/>
      <c r="AU67" s="264"/>
      <c r="AV67" s="264"/>
      <c r="AW67" s="264"/>
      <c r="AX67" s="264"/>
      <c r="AY67" s="264"/>
      <c r="AZ67" s="264"/>
      <c r="BA67" s="264"/>
    </row>
    <row r="68" spans="19:53" x14ac:dyDescent="0.15">
      <c r="S68" s="265"/>
      <c r="T68" s="265"/>
      <c r="U68" s="265"/>
      <c r="V68" s="265"/>
      <c r="W68" s="265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  <c r="AN68" s="264"/>
      <c r="AO68" s="264"/>
      <c r="AP68" s="264"/>
      <c r="AQ68" s="264"/>
      <c r="AR68" s="264"/>
      <c r="AS68" s="264"/>
      <c r="AT68" s="264"/>
      <c r="AU68" s="264"/>
      <c r="AV68" s="264"/>
      <c r="AW68" s="264"/>
      <c r="AX68" s="264"/>
      <c r="AY68" s="264"/>
      <c r="AZ68" s="264"/>
      <c r="BA68" s="264"/>
    </row>
    <row r="69" spans="19:53" x14ac:dyDescent="0.15">
      <c r="S69" s="265"/>
      <c r="T69" s="265"/>
      <c r="U69" s="265"/>
      <c r="V69" s="265"/>
      <c r="W69" s="265"/>
      <c r="Y69" s="264"/>
      <c r="Z69" s="264"/>
      <c r="AA69" s="264"/>
      <c r="AB69" s="264"/>
      <c r="AC69" s="264"/>
      <c r="AD69" s="264"/>
      <c r="AE69" s="264"/>
      <c r="AF69" s="264"/>
      <c r="AG69" s="264"/>
      <c r="AH69" s="264"/>
      <c r="AI69" s="264"/>
      <c r="AJ69" s="264"/>
      <c r="AK69" s="264"/>
      <c r="AL69" s="264"/>
      <c r="AM69" s="264"/>
      <c r="AN69" s="264"/>
      <c r="AO69" s="264"/>
      <c r="AP69" s="264"/>
      <c r="AQ69" s="264"/>
      <c r="AR69" s="264"/>
      <c r="AS69" s="264"/>
      <c r="AT69" s="264"/>
      <c r="AU69" s="264"/>
      <c r="AV69" s="264"/>
      <c r="AW69" s="264"/>
      <c r="AX69" s="264"/>
      <c r="AY69" s="264"/>
      <c r="AZ69" s="264"/>
      <c r="BA69" s="264"/>
    </row>
    <row r="70" spans="19:53" x14ac:dyDescent="0.15">
      <c r="S70" s="265"/>
      <c r="T70" s="265"/>
      <c r="U70" s="265"/>
      <c r="V70" s="265"/>
      <c r="W70" s="265"/>
      <c r="Y70" s="264"/>
      <c r="Z70" s="264"/>
      <c r="AA70" s="264"/>
      <c r="AB70" s="264"/>
      <c r="AC70" s="264"/>
      <c r="AD70" s="264"/>
      <c r="AE70" s="264"/>
      <c r="AF70" s="264"/>
      <c r="AG70" s="264"/>
      <c r="AH70" s="264"/>
      <c r="AI70" s="264"/>
      <c r="AJ70" s="264"/>
      <c r="AK70" s="264"/>
      <c r="AL70" s="264"/>
      <c r="AM70" s="264"/>
      <c r="AN70" s="264"/>
      <c r="AO70" s="264"/>
      <c r="AP70" s="264"/>
      <c r="AQ70" s="264"/>
      <c r="AR70" s="264"/>
      <c r="AS70" s="264"/>
      <c r="AT70" s="264"/>
      <c r="AU70" s="264"/>
      <c r="AV70" s="264"/>
      <c r="AW70" s="264"/>
      <c r="AX70" s="264"/>
      <c r="AY70" s="264"/>
      <c r="AZ70" s="264"/>
      <c r="BA70" s="264"/>
    </row>
    <row r="71" spans="19:53" x14ac:dyDescent="0.15">
      <c r="S71" s="265"/>
      <c r="T71" s="265"/>
      <c r="U71" s="265"/>
      <c r="V71" s="265"/>
      <c r="W71" s="265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Q71" s="264"/>
      <c r="AR71" s="264"/>
      <c r="AS71" s="264"/>
      <c r="AT71" s="264"/>
      <c r="AU71" s="264"/>
      <c r="AV71" s="264"/>
      <c r="AW71" s="264"/>
      <c r="AX71" s="264"/>
      <c r="AY71" s="264"/>
      <c r="AZ71" s="264"/>
      <c r="BA71" s="264"/>
    </row>
    <row r="72" spans="19:53" x14ac:dyDescent="0.15">
      <c r="S72" s="265"/>
      <c r="T72" s="265"/>
      <c r="U72" s="265"/>
      <c r="V72" s="265"/>
      <c r="W72" s="265"/>
      <c r="Y72" s="264"/>
      <c r="Z72" s="264"/>
      <c r="AA72" s="264"/>
      <c r="AB72" s="264"/>
      <c r="AC72" s="264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  <c r="AP72" s="264"/>
      <c r="AQ72" s="264"/>
      <c r="AR72" s="264"/>
      <c r="AS72" s="264"/>
      <c r="AT72" s="264"/>
      <c r="AU72" s="264"/>
      <c r="AV72" s="264"/>
      <c r="AW72" s="264"/>
      <c r="AX72" s="264"/>
      <c r="AY72" s="264"/>
      <c r="AZ72" s="264"/>
      <c r="BA72" s="264"/>
    </row>
    <row r="73" spans="19:53" x14ac:dyDescent="0.15">
      <c r="S73" s="265"/>
      <c r="T73" s="265"/>
      <c r="U73" s="265"/>
      <c r="V73" s="265"/>
      <c r="W73" s="265"/>
      <c r="Y73" s="264"/>
      <c r="Z73" s="264"/>
      <c r="AA73" s="264"/>
      <c r="AB73" s="264"/>
      <c r="AC73" s="264"/>
      <c r="AD73" s="264"/>
      <c r="AE73" s="264"/>
      <c r="AF73" s="264"/>
      <c r="AG73" s="264"/>
      <c r="AH73" s="264"/>
      <c r="AI73" s="264"/>
      <c r="AJ73" s="264"/>
      <c r="AK73" s="264"/>
      <c r="AL73" s="264"/>
      <c r="AM73" s="264"/>
      <c r="AN73" s="264"/>
      <c r="AO73" s="264"/>
      <c r="AP73" s="264"/>
      <c r="AQ73" s="264"/>
      <c r="AR73" s="264"/>
      <c r="AS73" s="264"/>
      <c r="AT73" s="264"/>
      <c r="AU73" s="264"/>
      <c r="AV73" s="264"/>
      <c r="AW73" s="264"/>
      <c r="AX73" s="264"/>
      <c r="AY73" s="264"/>
      <c r="AZ73" s="264"/>
      <c r="BA73" s="264"/>
    </row>
    <row r="74" spans="19:53" x14ac:dyDescent="0.15">
      <c r="S74" s="265"/>
      <c r="T74" s="265"/>
      <c r="U74" s="265"/>
      <c r="V74" s="265"/>
      <c r="W74" s="265"/>
      <c r="Y74" s="264"/>
      <c r="Z74" s="264"/>
      <c r="AA74" s="264"/>
      <c r="AB74" s="264"/>
      <c r="AC74" s="264"/>
      <c r="AD74" s="264"/>
      <c r="AE74" s="264"/>
      <c r="AF74" s="264"/>
      <c r="AG74" s="264"/>
      <c r="AH74" s="264"/>
      <c r="AI74" s="264"/>
      <c r="AJ74" s="264"/>
      <c r="AK74" s="264"/>
      <c r="AL74" s="264"/>
      <c r="AM74" s="264"/>
      <c r="AN74" s="264"/>
      <c r="AO74" s="264"/>
      <c r="AP74" s="264"/>
      <c r="AQ74" s="264"/>
      <c r="AR74" s="264"/>
      <c r="AS74" s="264"/>
      <c r="AT74" s="264"/>
      <c r="AU74" s="264"/>
      <c r="AV74" s="264"/>
      <c r="AW74" s="264"/>
      <c r="AX74" s="264"/>
      <c r="AY74" s="264"/>
      <c r="AZ74" s="264"/>
      <c r="BA74" s="264"/>
    </row>
  </sheetData>
  <sheetProtection algorithmName="SHA-512" hashValue="5PXTa0jNkDhdA7dRZfR5sNOw3R7DCeiwLoOk0qklEQQpkC/BtrZfIsIHlliO+51OZSUHX0gMOK/728ehetxsew==" saltValue="MIPUVeE40SpdUj/bwFJh8A==" spinCount="100000" sheet="1" objects="1" scenarios="1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E4E0-C72E-824C-9236-184D363B619F}">
  <sheetPr codeName="Sheet3">
    <tabColor theme="4" tint="0.39997558519241921"/>
  </sheetPr>
  <dimension ref="A1:BA74"/>
  <sheetViews>
    <sheetView zoomScaleNormal="100" zoomScalePageLayoutView="120" workbookViewId="0">
      <selection activeCell="C14" sqref="C14"/>
    </sheetView>
  </sheetViews>
  <sheetFormatPr baseColWidth="10" defaultRowHeight="14" x14ac:dyDescent="0.15"/>
  <cols>
    <col min="1" max="1" width="20.33203125" style="193" customWidth="1"/>
    <col min="2" max="2" width="13.5" style="193" customWidth="1"/>
    <col min="3" max="9" width="12.1640625" style="193" customWidth="1"/>
    <col min="10" max="11" width="12.1640625" style="193" hidden="1" customWidth="1"/>
    <col min="12" max="18" width="12.1640625" style="193" customWidth="1"/>
    <col min="19" max="20" width="12.1640625" style="193" hidden="1" customWidth="1"/>
    <col min="21" max="24" width="12.1640625" style="193" customWidth="1"/>
    <col min="25" max="53" width="7.5" style="193" customWidth="1"/>
    <col min="54" max="16384" width="10.83203125" style="193"/>
  </cols>
  <sheetData>
    <row r="1" spans="1:53" x14ac:dyDescent="0.15">
      <c r="A1" s="193" t="s">
        <v>149</v>
      </c>
    </row>
    <row r="2" spans="1:53" x14ac:dyDescent="0.15">
      <c r="A2" s="194" t="s">
        <v>48</v>
      </c>
    </row>
    <row r="3" spans="1:53" ht="15" thickBot="1" x14ac:dyDescent="0.2">
      <c r="G3" s="195"/>
    </row>
    <row r="4" spans="1:53" x14ac:dyDescent="0.15">
      <c r="A4" s="62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5"/>
    </row>
    <row r="5" spans="1:53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7"/>
    </row>
    <row r="6" spans="1:53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7"/>
    </row>
    <row r="7" spans="1:53" ht="75" x14ac:dyDescent="0.15">
      <c r="A7" s="251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1" t="s">
        <v>84</v>
      </c>
      <c r="G7" s="141" t="s">
        <v>85</v>
      </c>
      <c r="H7" s="141" t="s">
        <v>86</v>
      </c>
      <c r="I7" s="141" t="s">
        <v>87</v>
      </c>
      <c r="J7" s="141" t="s">
        <v>243</v>
      </c>
      <c r="K7" s="142" t="s">
        <v>61</v>
      </c>
      <c r="L7" s="142" t="s">
        <v>246</v>
      </c>
      <c r="M7" s="143" t="s">
        <v>62</v>
      </c>
      <c r="N7" s="143" t="s">
        <v>63</v>
      </c>
      <c r="O7" s="143" t="s">
        <v>64</v>
      </c>
      <c r="P7" s="143" t="s">
        <v>65</v>
      </c>
      <c r="Q7" s="143" t="s">
        <v>244</v>
      </c>
      <c r="R7" s="143" t="s">
        <v>245</v>
      </c>
      <c r="S7" s="144" t="s">
        <v>66</v>
      </c>
      <c r="T7" s="144" t="s">
        <v>67</v>
      </c>
      <c r="U7" s="144" t="s">
        <v>25</v>
      </c>
      <c r="V7" s="144" t="s">
        <v>26</v>
      </c>
      <c r="W7" s="143" t="s">
        <v>68</v>
      </c>
      <c r="X7" s="145" t="s">
        <v>95</v>
      </c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</row>
    <row r="8" spans="1:53" x14ac:dyDescent="0.15">
      <c r="A8" s="182" t="str">
        <f>'TAS Oct 2019'!K2</f>
        <v>Aurora Energy</v>
      </c>
      <c r="B8" s="183" t="str">
        <f>'TAS Oct 2019'!L2</f>
        <v>Regulated</v>
      </c>
      <c r="C8" s="184">
        <f>IF('TAS Oct 2019'!BP2=0,91*'TAS Oct 2019'!M2/100,(91*'TAS Oct 2019'!M2/100)+'TAS Oct 2019'!BP2/4)</f>
        <v>86.011545454545455</v>
      </c>
      <c r="D8" s="184">
        <f>IF('TAS Oct 2019'!O2="",$C$5*'TAS Oct 2019'!N2/100,IF($C$5&gt;='TAS Oct 2019'!P2,('TAS Oct 2019'!P2*'TAS Oct 2019'!N2/100),($C$5*'TAS Oct 2019'!N2/100)))</f>
        <v>156.99999999999997</v>
      </c>
      <c r="E8" s="184">
        <f>IF(AND('TAS Oct 2019'!P2&gt;0,'TAS Oct 2019'!R2&gt;0),IF($C$5&lt;'TAS Oct 2019'!P2,0,IF($C$5&lt;=('TAS Oct 2019'!R2+'TAS Oct 2019'!P2),(($C$5-'TAS Oct 2019'!P2)*'TAS Oct 2019'!Q2/100),(('TAS Oct 2019'!R2)*'TAS Oct 2019'!Q2/100))),0)</f>
        <v>0</v>
      </c>
      <c r="F8" s="184">
        <f>IF(AND('TAS Oct 2019'!Q2&gt;0,'TAS Oct 2019'!S2&gt;0),IF($C$5&lt;('TAS Oct 2019'!R2+'TAS Oct 2019'!P2),0,IF($C$5&lt;=('TAS Oct 2019'!T2+'TAS Oct 2019'!R2+'TAS Oct 2019'!P2),(($C$5-('TAS Oct 2019'!R2+'TAS Oct 2019'!P2))*'TAS Oct 2019'!S2/100),('TAS Oct 2019'!T2*'TAS Oct 2019'!S2/100))),0)</f>
        <v>0</v>
      </c>
      <c r="G8" s="185">
        <v>0</v>
      </c>
      <c r="H8" s="184">
        <f>IF(AND('TAS Oct 2019'!R2&gt;0,'TAS Oct 2019'!T2&gt;0),IF(($C$5&lt;'TAS Oct 2019'!T2),(0),($C$5-'TAS Oct 2019'!T2)*'TAS Oct 2019'!U2/100),IF(AND('TAS Oct 2019'!R2&gt;0,'TAS Oct 2019'!T2=""),IF(($C$5&lt;'TAS Oct 2019'!R2+'TAS Oct 2019'!P2),(0),(($C$5-('TAS Oct 2019'!R2+'TAS Oct 2019'!P2))*'TAS Oct 2019'!S2/100)),IF(AND('TAS Oct 2019'!P2&gt;0,'TAS Oct 2019'!R2=""&gt;0),IF(($C$5&lt;'TAS Oct 2019'!P2),(0),($C$5-'TAS Oct 2019'!P2)*'TAS Oct 2019'!Q2/100),0)))</f>
        <v>1045.2272727272727</v>
      </c>
      <c r="I8" s="187">
        <f>SUM(C8:H8)</f>
        <v>1288.2388181818183</v>
      </c>
      <c r="J8" s="208">
        <f>(I8-C8)*4</f>
        <v>4808.909090909091</v>
      </c>
      <c r="K8" s="208">
        <f>I8*4</f>
        <v>5152.955272727273</v>
      </c>
      <c r="L8" s="188">
        <f>K8*1.1</f>
        <v>5668.2508000000007</v>
      </c>
      <c r="M8" s="189">
        <f>'TAS Oct 2019'!BB2</f>
        <v>0</v>
      </c>
      <c r="N8" s="189">
        <f>'TAS Oct 2019'!BC2</f>
        <v>0</v>
      </c>
      <c r="O8" s="189">
        <f>'TAS Oct 2019'!BD2</f>
        <v>0</v>
      </c>
      <c r="P8" s="189">
        <f>'TAS Oct 2019'!BE2</f>
        <v>0</v>
      </c>
      <c r="Q8" s="189" t="str">
        <f>IF(SUM(M8:P8)=0,"No discount",IF(M8&gt;0,"Guaranteed off bill",IF(N8&gt;0,"Guaranteed off usage",IF(O8&gt;0,"Pay-on-time off bill","Pay-on-time off usage"))))</f>
        <v>No discount</v>
      </c>
      <c r="R8" s="189" t="str">
        <f t="shared" ref="R8" si="0">IF(OR(A8="Origin Energy",A8="Red Energy",A8="Powershop"),"Inclusive","Exclusive")</f>
        <v>Exclusive</v>
      </c>
      <c r="S8" s="213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5152.955272727273</v>
      </c>
      <c r="T8" s="213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5152.955272727273</v>
      </c>
      <c r="U8" s="188">
        <f>S8*1.1</f>
        <v>5668.2508000000007</v>
      </c>
      <c r="V8" s="188">
        <f>T8*1.1</f>
        <v>5668.2508000000007</v>
      </c>
      <c r="W8" s="190">
        <f>'TAS Oct 2019'!BL2</f>
        <v>0</v>
      </c>
      <c r="X8" s="191" t="str">
        <f>'TAS Oct 2019'!BM2</f>
        <v>n</v>
      </c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</row>
    <row r="9" spans="1:53" ht="15" thickBot="1" x14ac:dyDescent="0.2">
      <c r="A9" s="153" t="str">
        <f>'TAS Oct 2019'!K3</f>
        <v>1st Energy</v>
      </c>
      <c r="B9" s="160" t="str">
        <f>'TAS Oct 2019'!L3</f>
        <v>1st Saver</v>
      </c>
      <c r="C9" s="133">
        <f>IF('TAS Oct 2019'!BP3=0,91*'TAS Oct 2019'!M3/100,(91*'TAS Oct 2019'!M3/100)+'TAS Oct 2019'!BP3/4)</f>
        <v>86.00327272727273</v>
      </c>
      <c r="D9" s="133">
        <f>IF('TAS Oct 2019'!O3="",$C$5*'TAS Oct 2019'!N3/100,IF($C$5&gt;='TAS Oct 2019'!P3,('TAS Oct 2019'!P3*'TAS Oct 2019'!N3/100),($C$5*'TAS Oct 2019'!N3/100)))</f>
        <v>156.99999999999997</v>
      </c>
      <c r="E9" s="133">
        <f>IF(AND('TAS Oct 2019'!P3&gt;0,'TAS Oct 2019'!R3&gt;0),IF($C$5&lt;'TAS Oct 2019'!P3,0,IF($C$5&lt;=('TAS Oct 2019'!R3+'TAS Oct 2019'!P3),(($C$5-'TAS Oct 2019'!P3)*'TAS Oct 2019'!Q3/100),(('TAS Oct 2019'!R3)*'TAS Oct 2019'!Q3/100))),0)</f>
        <v>0</v>
      </c>
      <c r="F9" s="133">
        <f>IF(AND('TAS Oct 2019'!Q3&gt;0,'TAS Oct 2019'!S3&gt;0),IF($C$5&lt;('TAS Oct 2019'!R3+'TAS Oct 2019'!P3),0,IF($C$5&lt;=('TAS Oct 2019'!T3+'TAS Oct 2019'!R3+'TAS Oct 2019'!P3),(($C$5-('TAS Oct 2019'!R3+'TAS Oct 2019'!P3))*'TAS Oct 2019'!S3/100),('TAS Oct 2019'!T3*'TAS Oct 2019'!S3/100))),0)</f>
        <v>0</v>
      </c>
      <c r="G9" s="135">
        <v>0</v>
      </c>
      <c r="H9" s="133">
        <f>IF(AND('TAS Oct 2019'!R3&gt;0,'TAS Oct 2019'!T3&gt;0),IF(($C$5&lt;'TAS Oct 2019'!T3),(0),($C$5-'TAS Oct 2019'!T3)*'TAS Oct 2019'!U3/100),IF(AND('TAS Oct 2019'!R3&gt;0,'TAS Oct 2019'!T3=""),IF(($C$5&lt;'TAS Oct 2019'!R3+'TAS Oct 2019'!P3),(0),(($C$5-('TAS Oct 2019'!R3+'TAS Oct 2019'!P3))*'TAS Oct 2019'!S3/100)),IF(AND('TAS Oct 2019'!P3&gt;0,'TAS Oct 2019'!R3=""&gt;0),IF(($C$5&lt;'TAS Oct 2019'!P3),(0),($C$5-'TAS Oct 2019'!P3)*'TAS Oct 2019'!Q3/100),0)))</f>
        <v>1044.8181818181815</v>
      </c>
      <c r="I9" s="137">
        <f>SUM(C9:H9)</f>
        <v>1287.8214545454543</v>
      </c>
      <c r="J9" s="212">
        <f>(I9-C9)*4</f>
        <v>4807.2727272727261</v>
      </c>
      <c r="K9" s="212">
        <f>I9*4</f>
        <v>5151.2858181818174</v>
      </c>
      <c r="L9" s="138">
        <f>K9*1.1</f>
        <v>5666.4143999999997</v>
      </c>
      <c r="M9" s="132">
        <f>'TAS Oct 2019'!BB3</f>
        <v>0</v>
      </c>
      <c r="N9" s="132">
        <f>'TAS Oct 2019'!BC3</f>
        <v>0</v>
      </c>
      <c r="O9" s="132">
        <f>'TAS Oct 2019'!BD3</f>
        <v>0</v>
      </c>
      <c r="P9" s="132">
        <f>'TAS Oct 2019'!BE3</f>
        <v>5</v>
      </c>
      <c r="Q9" s="132" t="str">
        <f>IF(SUM(M9:P9)=0,"No discount",IF(M9&gt;0,"Guaranteed off bill",IF(N9&gt;0,"Guaranteed off usage",IF(O9&gt;0,"Pay-on-time off bill","Pay-on-time off usage"))))</f>
        <v>Pay-on-time off usage</v>
      </c>
      <c r="R9" s="132" t="str">
        <f t="shared" ref="R9" si="1">IF(OR(A9="Origin Energy",A9="Red Energy",A9="Powershop"),"Inclusive","Exclusive")</f>
        <v>Exclusive</v>
      </c>
      <c r="S9" s="206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5151.2858181818174</v>
      </c>
      <c r="T9" s="207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4910.9221818181813</v>
      </c>
      <c r="U9" s="138">
        <f>S9*1.1</f>
        <v>5666.4143999999997</v>
      </c>
      <c r="V9" s="138">
        <f>T9*1.1</f>
        <v>5402.0144</v>
      </c>
      <c r="W9" s="154">
        <f>'TAS Oct 2019'!BL3</f>
        <v>0</v>
      </c>
      <c r="X9" s="155">
        <f>'TAS Oct 2019'!BM3</f>
        <v>0</v>
      </c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</row>
    <row r="10" spans="1:53" x14ac:dyDescent="0.15"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</row>
    <row r="11" spans="1:53" ht="15" thickBot="1" x14ac:dyDescent="0.2"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</row>
    <row r="12" spans="1:53" x14ac:dyDescent="0.15">
      <c r="A12" s="62" t="s">
        <v>96</v>
      </c>
      <c r="B12" s="63"/>
      <c r="C12" s="63"/>
      <c r="D12" s="79"/>
      <c r="E12" s="79"/>
      <c r="F12" s="79"/>
      <c r="G12" s="79"/>
      <c r="H12" s="79"/>
      <c r="I12" s="80"/>
      <c r="J12" s="80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5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</row>
    <row r="13" spans="1:53" x14ac:dyDescent="0.15">
      <c r="A13" s="66" t="s">
        <v>79</v>
      </c>
      <c r="B13" s="64"/>
      <c r="C13" s="85">
        <v>5000</v>
      </c>
      <c r="D13" s="81"/>
      <c r="E13" s="81"/>
      <c r="F13" s="81"/>
      <c r="G13" s="81"/>
      <c r="H13" s="81"/>
      <c r="I13" s="82"/>
      <c r="J13" s="82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7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</row>
    <row r="14" spans="1:53" x14ac:dyDescent="0.15">
      <c r="A14" s="66" t="s">
        <v>97</v>
      </c>
      <c r="B14" s="64"/>
      <c r="C14" s="86">
        <v>0.7</v>
      </c>
      <c r="D14" s="81"/>
      <c r="E14" s="81"/>
      <c r="F14" s="81"/>
      <c r="G14" s="81"/>
      <c r="H14" s="81"/>
      <c r="I14" s="82"/>
      <c r="J14" s="82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7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</row>
    <row r="15" spans="1:53" x14ac:dyDescent="0.15">
      <c r="A15" s="66" t="s">
        <v>148</v>
      </c>
      <c r="B15" s="64"/>
      <c r="C15" s="86">
        <v>0.3</v>
      </c>
      <c r="D15" s="81"/>
      <c r="E15" s="81"/>
      <c r="F15" s="81"/>
      <c r="G15" s="81"/>
      <c r="H15" s="81"/>
      <c r="I15" s="82"/>
      <c r="J15" s="82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7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</row>
    <row r="16" spans="1:53" x14ac:dyDescent="0.15">
      <c r="A16" s="66"/>
      <c r="B16" s="64"/>
      <c r="C16" s="81"/>
      <c r="D16" s="81"/>
      <c r="E16" s="81"/>
      <c r="F16" s="81"/>
      <c r="G16" s="81"/>
      <c r="H16" s="81"/>
      <c r="I16" s="82"/>
      <c r="J16" s="8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7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</row>
    <row r="17" spans="1:53" ht="75" x14ac:dyDescent="0.15">
      <c r="A17" s="251" t="s">
        <v>73</v>
      </c>
      <c r="B17" s="147" t="s">
        <v>80</v>
      </c>
      <c r="C17" s="141" t="s">
        <v>81</v>
      </c>
      <c r="D17" s="141" t="s">
        <v>82</v>
      </c>
      <c r="E17" s="141" t="s">
        <v>83</v>
      </c>
      <c r="F17" s="141" t="s">
        <v>84</v>
      </c>
      <c r="G17" s="141" t="s">
        <v>86</v>
      </c>
      <c r="H17" s="141" t="s">
        <v>96</v>
      </c>
      <c r="I17" s="141" t="s">
        <v>87</v>
      </c>
      <c r="J17" s="141" t="s">
        <v>243</v>
      </c>
      <c r="K17" s="142" t="s">
        <v>61</v>
      </c>
      <c r="L17" s="142" t="s">
        <v>246</v>
      </c>
      <c r="M17" s="143" t="s">
        <v>62</v>
      </c>
      <c r="N17" s="143" t="s">
        <v>63</v>
      </c>
      <c r="O17" s="143" t="s">
        <v>64</v>
      </c>
      <c r="P17" s="143" t="s">
        <v>65</v>
      </c>
      <c r="Q17" s="143" t="s">
        <v>244</v>
      </c>
      <c r="R17" s="143" t="s">
        <v>245</v>
      </c>
      <c r="S17" s="144" t="s">
        <v>66</v>
      </c>
      <c r="T17" s="144" t="s">
        <v>67</v>
      </c>
      <c r="U17" s="144" t="s">
        <v>25</v>
      </c>
      <c r="V17" s="144" t="s">
        <v>26</v>
      </c>
      <c r="W17" s="143" t="s">
        <v>68</v>
      </c>
      <c r="X17" s="145" t="s">
        <v>95</v>
      </c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</row>
    <row r="18" spans="1:53" x14ac:dyDescent="0.15">
      <c r="A18" s="182" t="str">
        <f>'TAS Oct 2019'!K4</f>
        <v>Aurora Energy</v>
      </c>
      <c r="B18" s="183" t="str">
        <f>'TAS Oct 2019'!L4</f>
        <v>Regulated</v>
      </c>
      <c r="C18" s="184">
        <f>IF('TAS Oct 2019'!BP4=0,91*'TAS Oct 2019'!M4/100,(91*'TAS Oct 2019'!M4/100)+'TAS Oct 2019'!BP4/4)</f>
        <v>101.42859999999999</v>
      </c>
      <c r="D18" s="184">
        <f>IF('TAS Oct 2019'!O4="",$C$13*$C$14*'TAS Oct 2019'!N4/100,IF($C$13*$C$14&gt;='TAS Oct 2019'!P4,('TAS Oct 2019'!P4*'TAS Oct 2019'!N4/100),($C$13*$C$14*'TAS Oct 2019'!N4/100)))</f>
        <v>156.99999999999997</v>
      </c>
      <c r="E18" s="184">
        <f>IF(AND('TAS Oct 2019'!P4&gt;0,'TAS Oct 2019'!R4&gt;0),IF($C$13*$C$14&lt;'TAS Oct 2019'!P4,0,IF($C$13*$C$14&lt;=('TAS Oct 2019'!R4+'TAS Oct 2019'!P4),(($C$13*$C$14-'TAS Oct 2019'!P4)*'TAS Oct 2019'!Q4/100),(('TAS Oct 2019'!R4)*'TAS Oct 2019'!Q4/100))),0)</f>
        <v>0</v>
      </c>
      <c r="F18" s="184">
        <f>IF(AND('TAS Oct 2019'!Q2&gt;0,'TAS Oct 2019'!S2&gt;0),IF($C$13*$C$14&lt;('TAS Oct 2019'!R2+'TAS Oct 2019'!P2),0,IF($C$13*$C$14&lt;=('TAS Oct 2019'!T2+'TAS Oct 2019'!R2+'TAS Oct 2019'!P2),(($C$13*$C$14-('TAS Oct 2019'!R2+'TAS Oct 2019'!P2))*'TAS Oct 2019'!S2/100),('TAS Oct 2019'!T2*'TAS Oct 2019'!S2/100))),0)</f>
        <v>0</v>
      </c>
      <c r="G18" s="184">
        <f>IF(AND('TAS Oct 2019'!R4&gt;0,'TAS Oct 2019'!T4&gt;0),IF(($C$13*$C$14&lt;'TAS Oct 2019'!T4),(0),($C$13*$C$14-'TAS Oct 2019'!T4)*'TAS Oct 2019'!U4/100),IF(AND('TAS Oct 2019'!R4&gt;0,'TAS Oct 2019'!T4=""),IF(($C$13*$C$14&lt;'TAS Oct 2019'!R4+'TAS Oct 2019'!P4),(0),(($C$13*$C$14-('TAS Oct 2019'!R4+'TAS Oct 2019'!P4))*'TAS Oct 2019'!S4/100)),IF(AND('TAS Oct 2019'!P4&gt;0,'TAS Oct 2019'!R4=""&gt;0),IF(($C$13*$C$14&lt;'TAS Oct 2019'!P4),(0),($C$13*$C$14-'TAS Oct 2019'!P4)*'TAS Oct 2019'!Q4/100),0)))</f>
        <v>696.9</v>
      </c>
      <c r="H18" s="186">
        <f>($C$13*$C$15)*'TAS Oct 2019'!AF4/100</f>
        <v>223.05</v>
      </c>
      <c r="I18" s="187">
        <f>SUM(C18:H18)</f>
        <v>1178.3786</v>
      </c>
      <c r="J18" s="208">
        <f>(I18-C18)*4</f>
        <v>4307.8</v>
      </c>
      <c r="K18" s="208">
        <f>I18*4</f>
        <v>4713.5144</v>
      </c>
      <c r="L18" s="188">
        <f>K18*1.1</f>
        <v>5184.8658400000004</v>
      </c>
      <c r="M18" s="189">
        <f>'TAS Oct 2019'!BB4</f>
        <v>0</v>
      </c>
      <c r="N18" s="189">
        <f>'TAS Oct 2019'!BC4</f>
        <v>0</v>
      </c>
      <c r="O18" s="189">
        <f>'TAS Oct 2019'!BD4</f>
        <v>0</v>
      </c>
      <c r="P18" s="189">
        <f>'TAS Oct 2019'!BE4</f>
        <v>0</v>
      </c>
      <c r="Q18" s="189" t="str">
        <f>IF(SUM(M18:P18)=0,"No discount",IF(M18&gt;0,"Guaranteed off bill",IF(N18&gt;0,"Guaranteed off usage",IF(O18&gt;0,"Pay-on-time off bill","Pay-on-time off usage"))))</f>
        <v>No discount</v>
      </c>
      <c r="R18" s="189" t="str">
        <f t="shared" ref="R18:R19" si="2">IF(OR(A18="Origin Energy",A18="Red Energy",A18="Powershop"),"Inclusive","Exclusive")</f>
        <v>Exclusive</v>
      </c>
      <c r="S18" s="213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4713.5144</v>
      </c>
      <c r="T18" s="213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4713.5144</v>
      </c>
      <c r="U18" s="188">
        <f t="shared" ref="U18:U19" si="3">IF(R18="Exclusive",S18*1.1,S18)</f>
        <v>5184.8658400000004</v>
      </c>
      <c r="V18" s="188">
        <f t="shared" ref="V18:V19" si="4">IF(R18="Exclusive",T18*1.1,T18)</f>
        <v>5184.8658400000004</v>
      </c>
      <c r="W18" s="190">
        <f>'TAS Oct 2019'!BL4</f>
        <v>0</v>
      </c>
      <c r="X18" s="191" t="str">
        <f>'TAS Oct 2019'!BM4</f>
        <v>n</v>
      </c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</row>
    <row r="19" spans="1:53" ht="15" thickBot="1" x14ac:dyDescent="0.2">
      <c r="A19" s="153" t="str">
        <f>'TAS Oct 2019'!K5</f>
        <v>1st Energy</v>
      </c>
      <c r="B19" s="160" t="str">
        <f>'TAS Oct 2019'!L5</f>
        <v>1st Saver</v>
      </c>
      <c r="C19" s="133">
        <f>IF('TAS Oct 2019'!BP5=0,91*'TAS Oct 2019'!M5/100,(91*'TAS Oct 2019'!M5/100)+'TAS Oct 2019'!BP5/4)</f>
        <v>101.41536363636364</v>
      </c>
      <c r="D19" s="133">
        <f>IF('TAS Oct 2019'!O5="",$C$13*$C$14*'TAS Oct 2019'!N5/100,IF($C$13*$C$14&gt;='TAS Oct 2019'!P5,('TAS Oct 2019'!P5*'TAS Oct 2019'!N5/100),($C$13*$C$14*'TAS Oct 2019'!N5/100)))</f>
        <v>156.99999999999997</v>
      </c>
      <c r="E19" s="133">
        <f>IF(AND('TAS Oct 2019'!P5&gt;0,'TAS Oct 2019'!R5&gt;0),IF($C$13*$C$14&lt;'TAS Oct 2019'!P5,0,IF($C$13*$C$14&lt;=('TAS Oct 2019'!R5+'TAS Oct 2019'!P5),(($C$13*$C$14-'TAS Oct 2019'!P5)*'TAS Oct 2019'!Q5/100),(('TAS Oct 2019'!R5)*'TAS Oct 2019'!Q5/100))),0)</f>
        <v>0</v>
      </c>
      <c r="F19" s="133">
        <f>IF(AND('TAS Oct 2019'!Q3&gt;0,'TAS Oct 2019'!S3&gt;0),IF($C$13*$C$14&lt;('TAS Oct 2019'!R3+'TAS Oct 2019'!P3),0,IF($C$13*$C$14&lt;=('TAS Oct 2019'!T3+'TAS Oct 2019'!R3+'TAS Oct 2019'!P3),(($C$13*$C$14-('TAS Oct 2019'!R3+'TAS Oct 2019'!P3))*'TAS Oct 2019'!S3/100),('TAS Oct 2019'!T3*'TAS Oct 2019'!S3/100))),0)</f>
        <v>0</v>
      </c>
      <c r="G19" s="133">
        <f>IF(AND('TAS Oct 2019'!R5&gt;0,'TAS Oct 2019'!T5&gt;0),IF(($C$13*$C$14&lt;'TAS Oct 2019'!T5),(0),($C$13*$C$14-'TAS Oct 2019'!T5)*'TAS Oct 2019'!U5/100),IF(AND('TAS Oct 2019'!R5&gt;0,'TAS Oct 2019'!T5=""),IF(($C$13*$C$14&lt;'TAS Oct 2019'!R5+'TAS Oct 2019'!P5),(0),(($C$13*$C$14-('TAS Oct 2019'!R5+'TAS Oct 2019'!P5))*'TAS Oct 2019'!S5/100)),IF(AND('TAS Oct 2019'!P5&gt;0,'TAS Oct 2019'!R5=""&gt;0),IF(($C$13*$C$14&lt;'TAS Oct 2019'!P5),(0),($C$13*$C$14-'TAS Oct 2019'!P5)*'TAS Oct 2019'!Q5/100),0)))</f>
        <v>696.54545454545439</v>
      </c>
      <c r="H19" s="136">
        <f>($C$13*$C$15)*'TAS Oct 2019'!AF5/100</f>
        <v>223.09090909090909</v>
      </c>
      <c r="I19" s="137">
        <f>SUM(C19:H19)</f>
        <v>1178.051727272727</v>
      </c>
      <c r="J19" s="212">
        <f>(I19-C19)*4</f>
        <v>4306.5454545454531</v>
      </c>
      <c r="K19" s="212">
        <f>I19*4</f>
        <v>4712.2069090909081</v>
      </c>
      <c r="L19" s="138">
        <f>K19*1.1</f>
        <v>5183.4275999999991</v>
      </c>
      <c r="M19" s="132">
        <f>'TAS Oct 2019'!BB5</f>
        <v>0</v>
      </c>
      <c r="N19" s="132">
        <f>'TAS Oct 2019'!BC5</f>
        <v>0</v>
      </c>
      <c r="O19" s="132">
        <f>'TAS Oct 2019'!BD5</f>
        <v>0</v>
      </c>
      <c r="P19" s="132">
        <f>'TAS Oct 2019'!BE5</f>
        <v>5</v>
      </c>
      <c r="Q19" s="132" t="str">
        <f>IF(SUM(M19:P19)=0,"No discount",IF(M19&gt;0,"Guaranteed off bill",IF(N19&gt;0,"Guaranteed off usage",IF(O19&gt;0,"Pay-on-time off bill","Pay-on-time off usage"))))</f>
        <v>Pay-on-time off usage</v>
      </c>
      <c r="R19" s="132" t="str">
        <f t="shared" si="2"/>
        <v>Exclusive</v>
      </c>
      <c r="S19" s="206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4712.2069090909081</v>
      </c>
      <c r="T19" s="207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4496.8796363636357</v>
      </c>
      <c r="U19" s="138">
        <f t="shared" si="3"/>
        <v>5183.4275999999991</v>
      </c>
      <c r="V19" s="138">
        <f t="shared" si="4"/>
        <v>4946.5675999999994</v>
      </c>
      <c r="W19" s="154">
        <f>'TAS Oct 2019'!BL5</f>
        <v>0</v>
      </c>
      <c r="X19" s="155">
        <f>'TAS Oct 2019'!BM5</f>
        <v>0</v>
      </c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</row>
    <row r="20" spans="1:53" x14ac:dyDescent="0.15"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</row>
    <row r="21" spans="1:53" ht="15" thickBot="1" x14ac:dyDescent="0.2">
      <c r="S21" s="195"/>
      <c r="U21" s="195"/>
      <c r="V21" s="195"/>
      <c r="W21" s="195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</row>
    <row r="22" spans="1:53" x14ac:dyDescent="0.15">
      <c r="A22" s="62" t="s">
        <v>33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5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</row>
    <row r="23" spans="1:53" x14ac:dyDescent="0.15">
      <c r="A23" s="66" t="s">
        <v>22</v>
      </c>
      <c r="B23" s="64"/>
      <c r="C23" s="85">
        <v>5000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7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</row>
    <row r="24" spans="1:53" x14ac:dyDescent="0.15">
      <c r="A24" s="66" t="s">
        <v>23</v>
      </c>
      <c r="B24" s="64"/>
      <c r="C24" s="86">
        <v>0.3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7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</row>
    <row r="25" spans="1:53" x14ac:dyDescent="0.15">
      <c r="A25" s="66" t="s">
        <v>24</v>
      </c>
      <c r="B25" s="64"/>
      <c r="C25" s="86">
        <v>0.4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7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</row>
    <row r="26" spans="1:53" x14ac:dyDescent="0.15">
      <c r="A26" s="66" t="s">
        <v>21</v>
      </c>
      <c r="B26" s="64"/>
      <c r="C26" s="86">
        <v>0.3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7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</row>
    <row r="27" spans="1:53" x14ac:dyDescent="0.15">
      <c r="A27" s="66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7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</row>
    <row r="28" spans="1:53" ht="75" x14ac:dyDescent="0.15">
      <c r="A28" s="251" t="s">
        <v>35</v>
      </c>
      <c r="B28" s="147" t="s">
        <v>36</v>
      </c>
      <c r="C28" s="141" t="s">
        <v>27</v>
      </c>
      <c r="D28" s="141" t="s">
        <v>153</v>
      </c>
      <c r="E28" s="141" t="s">
        <v>83</v>
      </c>
      <c r="F28" s="141" t="s">
        <v>154</v>
      </c>
      <c r="G28" s="141" t="s">
        <v>155</v>
      </c>
      <c r="H28" s="141" t="s">
        <v>156</v>
      </c>
      <c r="I28" s="141" t="s">
        <v>87</v>
      </c>
      <c r="J28" s="141" t="s">
        <v>243</v>
      </c>
      <c r="K28" s="142" t="s">
        <v>157</v>
      </c>
      <c r="L28" s="142" t="s">
        <v>246</v>
      </c>
      <c r="M28" s="143" t="s">
        <v>94</v>
      </c>
      <c r="N28" s="143" t="s">
        <v>123</v>
      </c>
      <c r="O28" s="143" t="s">
        <v>124</v>
      </c>
      <c r="P28" s="143" t="s">
        <v>125</v>
      </c>
      <c r="Q28" s="143" t="s">
        <v>244</v>
      </c>
      <c r="R28" s="143" t="s">
        <v>245</v>
      </c>
      <c r="S28" s="144" t="s">
        <v>66</v>
      </c>
      <c r="T28" s="144" t="s">
        <v>67</v>
      </c>
      <c r="U28" s="144" t="s">
        <v>25</v>
      </c>
      <c r="V28" s="144" t="s">
        <v>26</v>
      </c>
      <c r="W28" s="143" t="s">
        <v>55</v>
      </c>
      <c r="X28" s="145" t="s">
        <v>160</v>
      </c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</row>
    <row r="29" spans="1:53" x14ac:dyDescent="0.15">
      <c r="A29" s="182" t="str">
        <f>'TAS Oct 2019'!K6</f>
        <v>Aurora Energy</v>
      </c>
      <c r="B29" s="183" t="str">
        <f>'TAS Oct 2019'!L6</f>
        <v>Regulated</v>
      </c>
      <c r="C29" s="184">
        <f>IF('TAS Oct 2019'!BP6=0,91*'TAS Oct 2019'!M6/100,(91*'TAS Oct 2019'!M6/100)+'TAS Oct 2019'!BP6/4)</f>
        <v>93.159181818181807</v>
      </c>
      <c r="D29" s="184">
        <f>IF('TAS Oct 2019'!O6="",$C$23*$C$24*'TAS Oct 2019'!N6/100,IF($C$23*$C$24&gt;='TAS Oct 2019'!P6,('TAS Oct 2019'!P6*'TAS Oct 2019'!N6/100),($C$23*$C$24*'TAS Oct 2019'!N6/100)))</f>
        <v>388.22727272727275</v>
      </c>
      <c r="E29" s="184">
        <f>IF(AND('TAS Oct 2019'!P6&gt;0,'TAS Oct 2019'!R6&gt;0),IF($C$23*$C$24&lt;'TAS Oct 2019'!P6,0,IF($C$23*$C$24&lt;=('TAS Oct 2019'!R6+'TAS Oct 2019'!P6),(($C$23*$C$24-'TAS Oct 2019'!P6)*'TAS Oct 2019'!Q6/100),(('TAS Oct 2019'!R6)*'TAS Oct 2019'!Q6/100))),0)</f>
        <v>0</v>
      </c>
      <c r="F29" s="184">
        <f>IF(AND('TAS Oct 2019'!R6&gt;0,'TAS Oct 2019'!T6&gt;0),IF(($C$23*$C$24&lt;'TAS Oct 2019'!T6),(0),($C$23*$C$244-'TAS Oct 2019'!T6)*'TAS Oct 2019'!U6/100),IF(AND('TAS Oct 2019'!R6&gt;0,'TAS Oct 2019'!T6=""),IF(($C$23*$C$24&lt;'TAS Oct 2019'!R6+'TAS Oct 2019'!P6),(0),(($C$23*$C$24-('TAS Oct 2019'!R6+'TAS Oct 2019'!P6))*'TAS Oct 2019'!S6/100)),IF(AND('TAS Oct 2019'!P6&gt;0,'TAS Oct 2019'!R6=""&gt;0),IF(($C$23*$C$24&lt;'TAS Oct 2019'!P6),(0),($C$23*$C$24-'TAS Oct 2019'!P6)*'TAS Oct 2019'!Q6/100),0)))</f>
        <v>0</v>
      </c>
      <c r="G29" s="185">
        <f>($C$23*$C$25)*'TAS Oct 2019'!AI6/100</f>
        <v>373.45454545454544</v>
      </c>
      <c r="H29" s="186">
        <f>($C$23*$C$26)*'TAS Oct 2019'!W6/100</f>
        <v>163.90909090909088</v>
      </c>
      <c r="I29" s="187">
        <f>SUM(C29:H29)</f>
        <v>1018.7500909090909</v>
      </c>
      <c r="J29" s="208">
        <f>(I29-C29)*4</f>
        <v>3702.3636363636365</v>
      </c>
      <c r="K29" s="208">
        <f>I29*4</f>
        <v>4075.0003636363635</v>
      </c>
      <c r="L29" s="188">
        <f>K29*1.1</f>
        <v>4482.5003999999999</v>
      </c>
      <c r="M29" s="189">
        <f>'TAS Oct 2019'!BB6</f>
        <v>0</v>
      </c>
      <c r="N29" s="189">
        <f>'TAS Oct 2019'!BC6</f>
        <v>0</v>
      </c>
      <c r="O29" s="189">
        <f>'TAS Oct 2019'!BD6</f>
        <v>0</v>
      </c>
      <c r="P29" s="189">
        <f>'TAS Oct 2019'!BE6</f>
        <v>0</v>
      </c>
      <c r="Q29" s="189" t="str">
        <f>IF(SUM(M29:P29)=0,"No discount",IF(M29&gt;0,"Guaranteed off bill",IF(N29&gt;0,"Guaranteed off usage",IF(O29&gt;0,"Pay-on-time off bill","Pay-on-time off usage"))))</f>
        <v>No discount</v>
      </c>
      <c r="R29" s="189" t="str">
        <f t="shared" ref="R29:R30" si="5">IF(OR(A29="Origin Energy",A29="Red Energy",A29="Powershop"),"Inclusive","Exclusive")</f>
        <v>Exclusive</v>
      </c>
      <c r="S29" s="210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4075.0003636363635</v>
      </c>
      <c r="T29" s="211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4075.0003636363635</v>
      </c>
      <c r="U29" s="188">
        <f t="shared" ref="U29:U30" si="6">IF(R29="Exclusive",S29*1.1,S29)</f>
        <v>4482.5003999999999</v>
      </c>
      <c r="V29" s="188">
        <f t="shared" ref="V29:V30" si="7">IF(R29="Exclusive",T29*1.1,T29)</f>
        <v>4482.5003999999999</v>
      </c>
      <c r="W29" s="190">
        <f>'TAS Oct 2019'!BL6</f>
        <v>0</v>
      </c>
      <c r="X29" s="191" t="str">
        <f>'TAS Oct 2019'!BM6</f>
        <v>n</v>
      </c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</row>
    <row r="30" spans="1:53" ht="15" thickBot="1" x14ac:dyDescent="0.2">
      <c r="A30" s="153" t="str">
        <f>'TAS Oct 2019'!K7</f>
        <v>1st Energy</v>
      </c>
      <c r="B30" s="160" t="str">
        <f>'TAS Oct 2019'!L7</f>
        <v>1st Saver</v>
      </c>
      <c r="C30" s="133">
        <f>IF('TAS Oct 2019'!BP7=0,91*'TAS Oct 2019'!M7/100,(91*'TAS Oct 2019'!M7/100)+'TAS Oct 2019'!BP7/4)</f>
        <v>93.159181818181807</v>
      </c>
      <c r="D30" s="133">
        <f>IF('TAS Oct 2019'!O7="",$C$23*$C$24*'TAS Oct 2019'!N7/100,IF($C$23*$C$24&gt;='TAS Oct 2019'!P7,('TAS Oct 2019'!P7*'TAS Oct 2019'!N7/100),($C$23*$C$24*'TAS Oct 2019'!N7/100)))</f>
        <v>387.54545454545456</v>
      </c>
      <c r="E30" s="133">
        <f>IF(AND('TAS Oct 2019'!P7&gt;0,'TAS Oct 2019'!R7&gt;0),IF($C$23*$C$24&lt;'TAS Oct 2019'!P7,0,IF($C$23*$C$24&lt;=('TAS Oct 2019'!R7+'TAS Oct 2019'!P7),(($C$23*$C$24-'TAS Oct 2019'!P7)*'TAS Oct 2019'!Q7/100),(('TAS Oct 2019'!R7)*'TAS Oct 2019'!Q7/100))),0)</f>
        <v>0</v>
      </c>
      <c r="F30" s="133">
        <f>IF(AND('TAS Oct 2019'!R7&gt;0,'TAS Oct 2019'!T7&gt;0),IF(($C$23*$C$24&lt;'TAS Oct 2019'!T7),(0),($C$23*$C$244-'TAS Oct 2019'!T7)*'TAS Oct 2019'!U7/100),IF(AND('TAS Oct 2019'!R7&gt;0,'TAS Oct 2019'!T7=""),IF(($C$23*$C$24&lt;'TAS Oct 2019'!R7+'TAS Oct 2019'!P7),(0),(($C$23*$C$24-('TAS Oct 2019'!R7+'TAS Oct 2019'!P7))*'TAS Oct 2019'!S7/100)),IF(AND('TAS Oct 2019'!P7&gt;0,'TAS Oct 2019'!R7=""&gt;0),IF(($C$23*$C$24&lt;'TAS Oct 2019'!P7),(0),($C$23*$C$24-'TAS Oct 2019'!P7)*'TAS Oct 2019'!Q7/100),0)))</f>
        <v>0</v>
      </c>
      <c r="G30" s="135">
        <f>($C$23*$C$25)*'TAS Oct 2019'!AI7/100</f>
        <v>366.2</v>
      </c>
      <c r="H30" s="136">
        <f>($C$23*$C$26)*'TAS Oct 2019'!W7/100</f>
        <v>163.77272727272725</v>
      </c>
      <c r="I30" s="137">
        <f>SUM(C30:H30)</f>
        <v>1010.6773636363637</v>
      </c>
      <c r="J30" s="212">
        <f>(I30-C30)*4</f>
        <v>3670.0727272727277</v>
      </c>
      <c r="K30" s="212">
        <f>I30*4</f>
        <v>4042.7094545454547</v>
      </c>
      <c r="L30" s="138">
        <f>K30*1.1</f>
        <v>4446.9804000000004</v>
      </c>
      <c r="M30" s="132">
        <f>'TAS Oct 2019'!BB7</f>
        <v>0</v>
      </c>
      <c r="N30" s="132">
        <f>'TAS Oct 2019'!BC7</f>
        <v>0</v>
      </c>
      <c r="O30" s="132">
        <f>'TAS Oct 2019'!BD7</f>
        <v>0</v>
      </c>
      <c r="P30" s="132">
        <f>'TAS Oct 2019'!BE7</f>
        <v>5</v>
      </c>
      <c r="Q30" s="132" t="str">
        <f>IF(SUM(M30:P30)=0,"No discount",IF(M30&gt;0,"Guaranteed off bill",IF(N30&gt;0,"Guaranteed off usage",IF(O30&gt;0,"Pay-on-time off bill","Pay-on-time off usage"))))</f>
        <v>Pay-on-time off usage</v>
      </c>
      <c r="R30" s="132" t="str">
        <f t="shared" si="5"/>
        <v>Exclusive</v>
      </c>
      <c r="S30" s="206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4042.7094545454547</v>
      </c>
      <c r="T30" s="207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3859.2058181818184</v>
      </c>
      <c r="U30" s="138">
        <f t="shared" si="6"/>
        <v>4446.9804000000004</v>
      </c>
      <c r="V30" s="138">
        <f t="shared" si="7"/>
        <v>4245.1264000000001</v>
      </c>
      <c r="W30" s="154">
        <f>'TAS Oct 2019'!BL7</f>
        <v>0</v>
      </c>
      <c r="X30" s="155">
        <f>'TAS Oct 2019'!BM7</f>
        <v>0</v>
      </c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</row>
    <row r="31" spans="1:53" x14ac:dyDescent="0.15"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</row>
    <row r="32" spans="1:53" x14ac:dyDescent="0.15">
      <c r="S32" s="197"/>
      <c r="T32" s="197"/>
      <c r="U32" s="197"/>
      <c r="V32" s="197"/>
      <c r="W32" s="197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</row>
    <row r="33" spans="19:53" x14ac:dyDescent="0.15">
      <c r="S33" s="197"/>
      <c r="T33" s="197"/>
      <c r="U33" s="197"/>
      <c r="V33" s="197"/>
      <c r="W33" s="197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</row>
    <row r="34" spans="19:53" x14ac:dyDescent="0.15">
      <c r="S34" s="197"/>
      <c r="T34" s="197"/>
      <c r="U34" s="197"/>
      <c r="V34" s="197"/>
      <c r="W34" s="197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</row>
    <row r="35" spans="19:53" x14ac:dyDescent="0.15">
      <c r="S35" s="197"/>
      <c r="T35" s="197"/>
      <c r="U35" s="197"/>
      <c r="V35" s="197"/>
      <c r="W35" s="197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</row>
    <row r="36" spans="19:53" x14ac:dyDescent="0.15">
      <c r="S36" s="197"/>
      <c r="T36" s="197"/>
      <c r="U36" s="197"/>
      <c r="V36" s="197"/>
      <c r="W36" s="197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</row>
    <row r="37" spans="19:53" x14ac:dyDescent="0.15">
      <c r="S37" s="197"/>
      <c r="T37" s="197"/>
      <c r="U37" s="197"/>
      <c r="V37" s="197"/>
      <c r="W37" s="197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</row>
    <row r="38" spans="19:53" x14ac:dyDescent="0.15">
      <c r="S38" s="197"/>
      <c r="T38" s="197"/>
      <c r="U38" s="197"/>
      <c r="V38" s="197"/>
      <c r="W38" s="197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</row>
    <row r="39" spans="19:53" x14ac:dyDescent="0.15">
      <c r="S39" s="197"/>
      <c r="T39" s="197"/>
      <c r="U39" s="197"/>
      <c r="V39" s="197"/>
      <c r="W39" s="197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</row>
    <row r="40" spans="19:53" x14ac:dyDescent="0.15">
      <c r="S40" s="197"/>
      <c r="T40" s="197"/>
      <c r="U40" s="197"/>
      <c r="V40" s="197"/>
      <c r="W40" s="197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</row>
    <row r="41" spans="19:53" x14ac:dyDescent="0.15">
      <c r="S41" s="197"/>
      <c r="T41" s="197"/>
      <c r="U41" s="197"/>
      <c r="V41" s="197"/>
      <c r="W41" s="197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</row>
    <row r="42" spans="19:53" x14ac:dyDescent="0.15">
      <c r="S42" s="197"/>
      <c r="T42" s="197"/>
      <c r="U42" s="197"/>
      <c r="V42" s="197"/>
      <c r="W42" s="197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</row>
    <row r="43" spans="19:53" x14ac:dyDescent="0.15">
      <c r="S43" s="197"/>
      <c r="T43" s="197"/>
      <c r="U43" s="197"/>
      <c r="V43" s="197"/>
      <c r="W43" s="197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</row>
    <row r="44" spans="19:53" x14ac:dyDescent="0.15">
      <c r="S44" s="197"/>
      <c r="T44" s="197"/>
      <c r="U44" s="197"/>
      <c r="V44" s="197"/>
      <c r="W44" s="197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</row>
    <row r="45" spans="19:53" x14ac:dyDescent="0.15">
      <c r="S45" s="197"/>
      <c r="T45" s="197"/>
      <c r="U45" s="197"/>
      <c r="V45" s="197"/>
      <c r="W45" s="197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</row>
    <row r="46" spans="19:53" x14ac:dyDescent="0.15">
      <c r="S46" s="197"/>
      <c r="T46" s="197"/>
      <c r="U46" s="197"/>
      <c r="V46" s="197"/>
      <c r="W46" s="197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</row>
    <row r="47" spans="19:53" x14ac:dyDescent="0.15">
      <c r="S47" s="197"/>
      <c r="T47" s="197"/>
      <c r="U47" s="197"/>
      <c r="V47" s="197"/>
      <c r="W47" s="197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</row>
    <row r="48" spans="19:53" x14ac:dyDescent="0.15">
      <c r="S48" s="197"/>
      <c r="T48" s="197"/>
      <c r="U48" s="197"/>
      <c r="V48" s="197"/>
      <c r="W48" s="197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</row>
    <row r="49" spans="19:53" x14ac:dyDescent="0.15">
      <c r="S49" s="197"/>
      <c r="T49" s="197"/>
      <c r="U49" s="197"/>
      <c r="V49" s="197"/>
      <c r="W49" s="197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</row>
    <row r="50" spans="19:53" x14ac:dyDescent="0.15">
      <c r="S50" s="197"/>
      <c r="T50" s="197"/>
      <c r="U50" s="197"/>
      <c r="V50" s="197"/>
      <c r="W50" s="197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</row>
    <row r="51" spans="19:53" x14ac:dyDescent="0.15">
      <c r="S51" s="197"/>
      <c r="T51" s="197"/>
      <c r="U51" s="197"/>
      <c r="V51" s="197"/>
      <c r="W51" s="197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</row>
    <row r="52" spans="19:53" x14ac:dyDescent="0.15">
      <c r="S52" s="197"/>
      <c r="T52" s="197"/>
      <c r="U52" s="197"/>
      <c r="V52" s="197"/>
      <c r="W52" s="197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</row>
    <row r="53" spans="19:53" x14ac:dyDescent="0.15">
      <c r="S53" s="197"/>
      <c r="T53" s="197"/>
      <c r="U53" s="197"/>
      <c r="V53" s="197"/>
      <c r="W53" s="197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</row>
    <row r="54" spans="19:53" x14ac:dyDescent="0.15">
      <c r="S54" s="197"/>
      <c r="T54" s="197"/>
      <c r="U54" s="197"/>
      <c r="V54" s="197"/>
      <c r="W54" s="197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</row>
    <row r="55" spans="19:53" x14ac:dyDescent="0.15">
      <c r="S55" s="197"/>
      <c r="T55" s="197"/>
      <c r="U55" s="197"/>
      <c r="V55" s="197"/>
      <c r="W55" s="197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</row>
    <row r="56" spans="19:53" x14ac:dyDescent="0.15">
      <c r="S56" s="197"/>
      <c r="T56" s="197"/>
      <c r="U56" s="197"/>
      <c r="V56" s="197"/>
      <c r="W56" s="197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</row>
    <row r="57" spans="19:53" x14ac:dyDescent="0.15">
      <c r="S57" s="197"/>
      <c r="T57" s="197"/>
      <c r="U57" s="197"/>
      <c r="V57" s="197"/>
      <c r="W57" s="197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196"/>
      <c r="AV57" s="196"/>
      <c r="AW57" s="196"/>
      <c r="AX57" s="196"/>
      <c r="AY57" s="196"/>
      <c r="AZ57" s="196"/>
      <c r="BA57" s="196"/>
    </row>
    <row r="58" spans="19:53" x14ac:dyDescent="0.15">
      <c r="S58" s="197"/>
      <c r="T58" s="197"/>
      <c r="U58" s="197"/>
      <c r="V58" s="197"/>
      <c r="W58" s="197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196"/>
      <c r="AW58" s="196"/>
      <c r="AX58" s="196"/>
      <c r="AY58" s="196"/>
      <c r="AZ58" s="196"/>
      <c r="BA58" s="196"/>
    </row>
    <row r="59" spans="19:53" x14ac:dyDescent="0.15">
      <c r="S59" s="197"/>
      <c r="T59" s="197"/>
      <c r="U59" s="197"/>
      <c r="V59" s="197"/>
      <c r="W59" s="197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  <c r="AQ59" s="196"/>
      <c r="AR59" s="196"/>
      <c r="AS59" s="196"/>
      <c r="AT59" s="196"/>
      <c r="AU59" s="196"/>
      <c r="AV59" s="196"/>
      <c r="AW59" s="196"/>
      <c r="AX59" s="196"/>
      <c r="AY59" s="196"/>
      <c r="AZ59" s="196"/>
      <c r="BA59" s="196"/>
    </row>
    <row r="60" spans="19:53" x14ac:dyDescent="0.15">
      <c r="S60" s="197"/>
      <c r="T60" s="197"/>
      <c r="U60" s="197"/>
      <c r="V60" s="197"/>
      <c r="W60" s="197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6"/>
      <c r="AW60" s="196"/>
      <c r="AX60" s="196"/>
      <c r="AY60" s="196"/>
      <c r="AZ60" s="196"/>
      <c r="BA60" s="196"/>
    </row>
    <row r="61" spans="19:53" x14ac:dyDescent="0.15">
      <c r="S61" s="197"/>
      <c r="T61" s="197"/>
      <c r="U61" s="197"/>
      <c r="V61" s="197"/>
      <c r="W61" s="197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AV61" s="196"/>
      <c r="AW61" s="196"/>
      <c r="AX61" s="196"/>
      <c r="AY61" s="196"/>
      <c r="AZ61" s="196"/>
      <c r="BA61" s="196"/>
    </row>
    <row r="62" spans="19:53" x14ac:dyDescent="0.15">
      <c r="S62" s="197"/>
      <c r="T62" s="197"/>
      <c r="U62" s="197"/>
      <c r="V62" s="197"/>
      <c r="W62" s="197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96"/>
      <c r="AY62" s="196"/>
      <c r="AZ62" s="196"/>
      <c r="BA62" s="196"/>
    </row>
    <row r="63" spans="19:53" x14ac:dyDescent="0.15">
      <c r="S63" s="197"/>
      <c r="T63" s="197"/>
      <c r="U63" s="197"/>
      <c r="V63" s="197"/>
      <c r="W63" s="197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96"/>
      <c r="AV63" s="196"/>
      <c r="AW63" s="196"/>
      <c r="AX63" s="196"/>
      <c r="AY63" s="196"/>
      <c r="AZ63" s="196"/>
      <c r="BA63" s="196"/>
    </row>
    <row r="64" spans="19:53" x14ac:dyDescent="0.15">
      <c r="S64" s="197"/>
      <c r="T64" s="197"/>
      <c r="U64" s="197"/>
      <c r="V64" s="197"/>
      <c r="W64" s="197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6"/>
      <c r="AS64" s="196"/>
      <c r="AT64" s="196"/>
      <c r="AU64" s="196"/>
      <c r="AV64" s="196"/>
      <c r="AW64" s="196"/>
      <c r="AX64" s="196"/>
      <c r="AY64" s="196"/>
      <c r="AZ64" s="196"/>
      <c r="BA64" s="196"/>
    </row>
    <row r="65" spans="19:53" x14ac:dyDescent="0.15">
      <c r="S65" s="197"/>
      <c r="T65" s="197"/>
      <c r="U65" s="197"/>
      <c r="V65" s="197"/>
      <c r="W65" s="197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</row>
    <row r="66" spans="19:53" x14ac:dyDescent="0.15">
      <c r="S66" s="197"/>
      <c r="T66" s="197"/>
      <c r="U66" s="197"/>
      <c r="V66" s="197"/>
      <c r="W66" s="197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</row>
    <row r="67" spans="19:53" x14ac:dyDescent="0.15">
      <c r="S67" s="197"/>
      <c r="T67" s="197"/>
      <c r="U67" s="197"/>
      <c r="V67" s="197"/>
      <c r="W67" s="197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</row>
    <row r="68" spans="19:53" x14ac:dyDescent="0.15">
      <c r="S68" s="197"/>
      <c r="T68" s="197"/>
      <c r="U68" s="197"/>
      <c r="V68" s="197"/>
      <c r="W68" s="197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</row>
    <row r="69" spans="19:53" x14ac:dyDescent="0.15">
      <c r="S69" s="197"/>
      <c r="T69" s="197"/>
      <c r="U69" s="197"/>
      <c r="V69" s="197"/>
      <c r="W69" s="197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</row>
    <row r="70" spans="19:53" x14ac:dyDescent="0.15">
      <c r="S70" s="197"/>
      <c r="T70" s="197"/>
      <c r="U70" s="197"/>
      <c r="V70" s="197"/>
      <c r="W70" s="197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</row>
    <row r="71" spans="19:53" x14ac:dyDescent="0.15">
      <c r="S71" s="197"/>
      <c r="T71" s="197"/>
      <c r="U71" s="197"/>
      <c r="V71" s="197"/>
      <c r="W71" s="197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</row>
    <row r="72" spans="19:53" x14ac:dyDescent="0.15">
      <c r="S72" s="197"/>
      <c r="T72" s="197"/>
      <c r="U72" s="197"/>
      <c r="V72" s="197"/>
      <c r="W72" s="197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</row>
    <row r="73" spans="19:53" x14ac:dyDescent="0.15">
      <c r="S73" s="197"/>
      <c r="T73" s="197"/>
      <c r="U73" s="197"/>
      <c r="V73" s="197"/>
      <c r="W73" s="197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  <c r="AX73" s="196"/>
      <c r="AY73" s="196"/>
      <c r="AZ73" s="196"/>
      <c r="BA73" s="196"/>
    </row>
    <row r="74" spans="19:53" x14ac:dyDescent="0.15">
      <c r="S74" s="197"/>
      <c r="T74" s="197"/>
      <c r="U74" s="197"/>
      <c r="V74" s="197"/>
      <c r="W74" s="197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</row>
  </sheetData>
  <sheetProtection algorithmName="SHA-512" hashValue="l8P9GObO6L28z7iksShtuyQOQHhtUcJwWCf69bROnEJygCRS+qmj+gimln2bCzEQvvVQU1cuFYopML51Cb+MYw==" saltValue="h1KgyOi78ThImZdViZZX9w==" spinCount="100000" sheet="1" objects="1" scenarios="1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7659D-AEBE-A546-8DC6-399D56C0F743}">
  <sheetPr codeName="Sheet4">
    <tabColor rgb="FFFFA9A6"/>
  </sheetPr>
  <dimension ref="A1:BA74"/>
  <sheetViews>
    <sheetView zoomScaleNormal="100" zoomScalePageLayoutView="120" workbookViewId="0">
      <selection activeCell="D37" sqref="D37"/>
    </sheetView>
  </sheetViews>
  <sheetFormatPr baseColWidth="10" defaultRowHeight="14" x14ac:dyDescent="0.15"/>
  <cols>
    <col min="1" max="1" width="20.33203125" style="174" customWidth="1"/>
    <col min="2" max="2" width="14.83203125" style="174" customWidth="1"/>
    <col min="3" max="9" width="12.1640625" style="174" customWidth="1"/>
    <col min="10" max="11" width="12.1640625" style="174" hidden="1" customWidth="1"/>
    <col min="12" max="18" width="12.1640625" style="174" customWidth="1"/>
    <col min="19" max="20" width="12.1640625" style="174" hidden="1" customWidth="1"/>
    <col min="21" max="24" width="12.1640625" style="174" customWidth="1"/>
    <col min="25" max="53" width="7.5" style="174" customWidth="1"/>
    <col min="54" max="16384" width="10.83203125" style="174"/>
  </cols>
  <sheetData>
    <row r="1" spans="1:53" x14ac:dyDescent="0.15">
      <c r="A1" s="174" t="s">
        <v>149</v>
      </c>
    </row>
    <row r="2" spans="1:53" x14ac:dyDescent="0.15">
      <c r="A2" s="175" t="s">
        <v>48</v>
      </c>
    </row>
    <row r="3" spans="1:53" ht="15" thickBot="1" x14ac:dyDescent="0.2">
      <c r="G3" s="176"/>
    </row>
    <row r="4" spans="1:53" x14ac:dyDescent="0.15">
      <c r="A4" s="62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5"/>
    </row>
    <row r="5" spans="1:53" x14ac:dyDescent="0.15">
      <c r="A5" s="66" t="s">
        <v>79</v>
      </c>
      <c r="B5" s="64"/>
      <c r="C5" s="85">
        <v>5000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7"/>
    </row>
    <row r="6" spans="1:53" x14ac:dyDescent="0.15">
      <c r="A6" s="6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7"/>
    </row>
    <row r="7" spans="1:53" ht="75" x14ac:dyDescent="0.15">
      <c r="A7" s="251" t="s">
        <v>73</v>
      </c>
      <c r="B7" s="147" t="s">
        <v>80</v>
      </c>
      <c r="C7" s="141" t="s">
        <v>81</v>
      </c>
      <c r="D7" s="141" t="s">
        <v>82</v>
      </c>
      <c r="E7" s="141" t="s">
        <v>83</v>
      </c>
      <c r="F7" s="141" t="s">
        <v>84</v>
      </c>
      <c r="G7" s="141" t="s">
        <v>85</v>
      </c>
      <c r="H7" s="141" t="s">
        <v>86</v>
      </c>
      <c r="I7" s="141" t="s">
        <v>87</v>
      </c>
      <c r="J7" s="141" t="s">
        <v>243</v>
      </c>
      <c r="K7" s="142" t="s">
        <v>61</v>
      </c>
      <c r="L7" s="142" t="s">
        <v>246</v>
      </c>
      <c r="M7" s="143" t="s">
        <v>62</v>
      </c>
      <c r="N7" s="143" t="s">
        <v>63</v>
      </c>
      <c r="O7" s="143" t="s">
        <v>64</v>
      </c>
      <c r="P7" s="143" t="s">
        <v>65</v>
      </c>
      <c r="Q7" s="143" t="s">
        <v>244</v>
      </c>
      <c r="R7" s="143" t="s">
        <v>245</v>
      </c>
      <c r="S7" s="144" t="s">
        <v>247</v>
      </c>
      <c r="T7" s="144" t="s">
        <v>248</v>
      </c>
      <c r="U7" s="144" t="s">
        <v>25</v>
      </c>
      <c r="V7" s="144" t="s">
        <v>26</v>
      </c>
      <c r="W7" s="143" t="s">
        <v>68</v>
      </c>
      <c r="X7" s="145" t="s">
        <v>95</v>
      </c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</row>
    <row r="8" spans="1:53" x14ac:dyDescent="0.15">
      <c r="A8" s="182" t="str">
        <f>'TAS Apr 2019'!K2</f>
        <v>Aurora Energy</v>
      </c>
      <c r="B8" s="183" t="str">
        <f>'TAS Apr 2019'!L2</f>
        <v>Regulated</v>
      </c>
      <c r="C8" s="184">
        <f>IF('TAS Apr 2019'!BP2=0,91*'TAS Apr 2019'!M2/100,(91*'TAS Apr 2019'!M2/100)+'TAS Apr 2019'!BP2/4)</f>
        <v>84.320599999999999</v>
      </c>
      <c r="D8" s="184">
        <f>IF('TAS Apr 2019'!O2="",$C$5*'TAS Apr 2019'!N2/100,IF($C$5&gt;='TAS Apr 2019'!P2,('TAS Apr 2019'!P2*'TAS Apr 2019'!N2/100),($C$5*'TAS Apr 2019'!N2/100)))</f>
        <v>153.92500000000001</v>
      </c>
      <c r="E8" s="184">
        <f>IF(AND('TAS Apr 2019'!P2&gt;0,'TAS Apr 2019'!R2&gt;0),IF($C$5&lt;'TAS Apr 2019'!P2,0,IF($C$5&lt;=('TAS Apr 2019'!R2+'TAS Apr 2019'!P2),(($C$5-'TAS Apr 2019'!P2)*'TAS Apr 2019'!Q2/100),(('TAS Apr 2019'!R2)*'TAS Apr 2019'!Q2/100))),0)</f>
        <v>0</v>
      </c>
      <c r="F8" s="184">
        <f>IF(AND('TAS Apr 2019'!Q2&gt;0,'TAS Apr 2019'!S2&gt;0),IF($C$5&lt;('TAS Apr 2019'!R2+'TAS Apr 2019'!P2),0,IF($C$5&lt;=('TAS Apr 2019'!T2+'TAS Apr 2019'!R2+'TAS Apr 2019'!P2),(($C$5-('TAS Apr 2019'!R2+'TAS Apr 2019'!P2))*'TAS Apr 2019'!S2/100),('TAS Apr 2019'!T2*'TAS Apr 2019'!S2/100))),0)</f>
        <v>0</v>
      </c>
      <c r="G8" s="185">
        <v>0</v>
      </c>
      <c r="H8" s="184">
        <f>IF(AND('TAS Apr 2019'!R2&gt;0,'TAS Apr 2019'!T2&gt;0),IF(($C$5&lt;'TAS Apr 2019'!T2),(0),($C$5-'TAS Apr 2019'!T2)*'TAS Apr 2019'!U2/100),IF(AND('TAS Apr 2019'!R2&gt;0,'TAS Apr 2019'!T2=""),IF(($C$5&lt;'TAS Apr 2019'!R2+'TAS Apr 2019'!P2),(0),(($C$5-('TAS Apr 2019'!R2+'TAS Apr 2019'!P2))*'TAS Apr 2019'!S2/100)),IF(AND('TAS Apr 2019'!P2&gt;0,'TAS Apr 2019'!R2=""&gt;0),IF(($C$5&lt;'TAS Apr 2019'!P2),(0),($C$5-'TAS Apr 2019'!P2)*'TAS Apr 2019'!Q2/100),0)))</f>
        <v>1024.83</v>
      </c>
      <c r="I8" s="187">
        <f>SUM(C8:H8)</f>
        <v>1263.0755999999999</v>
      </c>
      <c r="J8" s="208">
        <f>(I8-C8)*4</f>
        <v>4715.0199999999995</v>
      </c>
      <c r="K8" s="208">
        <f>I8*4</f>
        <v>5052.3023999999996</v>
      </c>
      <c r="L8" s="188">
        <f>K8*1.1</f>
        <v>5557.5326400000004</v>
      </c>
      <c r="M8" s="189">
        <f>'TAS Apr 2019'!BB2</f>
        <v>0</v>
      </c>
      <c r="N8" s="189">
        <f>'TAS Apr 2019'!BC2</f>
        <v>0</v>
      </c>
      <c r="O8" s="189">
        <f>'TAS Apr 2019'!BD2</f>
        <v>0</v>
      </c>
      <c r="P8" s="189">
        <f>'TAS Apr 2019'!BE2</f>
        <v>0</v>
      </c>
      <c r="Q8" s="189" t="str">
        <f>IF(SUM(M8:P8)=0,"No discount",IF(M8&gt;0,"Guaranteed off bill",IF(N8&gt;0,"Guaranteed off usage",IF(O8&gt;0,"Pay-on-time off bill","Pay-on-time off usage"))))</f>
        <v>No discount</v>
      </c>
      <c r="R8" s="189" t="str">
        <f t="shared" ref="R8:R9" si="0">IF(OR(A8="Origin Energy",A8="Red Energy",A8="Powershop"),"Inclusive","Exclusive")</f>
        <v>Exclusive</v>
      </c>
      <c r="S8" s="213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5052.3023999999996</v>
      </c>
      <c r="T8" s="213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5052.3023999999996</v>
      </c>
      <c r="U8" s="188">
        <f>S8*1.1</f>
        <v>5557.5326400000004</v>
      </c>
      <c r="V8" s="188">
        <f>T8*1.1</f>
        <v>5557.5326400000004</v>
      </c>
      <c r="W8" s="190">
        <f>'TAS Apr 2019'!BL2</f>
        <v>0</v>
      </c>
      <c r="X8" s="191" t="str">
        <f>'TAS Apr 2019'!BM2</f>
        <v>n</v>
      </c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</row>
    <row r="9" spans="1:53" ht="15" thickBot="1" x14ac:dyDescent="0.2">
      <c r="A9" s="153" t="str">
        <f>'TAS Apr 2019'!K3</f>
        <v>1st Energy</v>
      </c>
      <c r="B9" s="160" t="str">
        <f>'TAS Apr 2019'!L3</f>
        <v>1st Saver</v>
      </c>
      <c r="C9" s="133">
        <f>IF('TAS Apr 2019'!BP3=0,91*'TAS Apr 2019'!M3/100,(91*'TAS Apr 2019'!M3/100)+'TAS Apr 2019'!BP3/4)</f>
        <v>84.320599999999999</v>
      </c>
      <c r="D9" s="133">
        <f>IF('TAS Apr 2019'!O3="",$C$5*'TAS Apr 2019'!N3/100,IF($C$5&gt;='TAS Apr 2019'!P3,('TAS Apr 2019'!P3*'TAS Apr 2019'!N3/100),($C$5*'TAS Apr 2019'!N3/100)))</f>
        <v>153.9</v>
      </c>
      <c r="E9" s="133">
        <f>IF(AND('TAS Apr 2019'!P3&gt;0,'TAS Apr 2019'!R3&gt;0),IF($C$5&lt;'TAS Apr 2019'!P3,0,IF($C$5&lt;=('TAS Apr 2019'!R3+'TAS Apr 2019'!P3),(($C$5-'TAS Apr 2019'!P3)*'TAS Apr 2019'!Q3/100),(('TAS Apr 2019'!R3)*'TAS Apr 2019'!Q3/100))),0)</f>
        <v>0</v>
      </c>
      <c r="F9" s="133">
        <f>IF(AND('TAS Apr 2019'!Q3&gt;0,'TAS Apr 2019'!S3&gt;0),IF($C$5&lt;('TAS Apr 2019'!R3+'TAS Apr 2019'!P3),0,IF($C$5&lt;=('TAS Apr 2019'!T3+'TAS Apr 2019'!R3+'TAS Apr 2019'!P3),(($C$5-('TAS Apr 2019'!R3+'TAS Apr 2019'!P3))*'TAS Apr 2019'!S3/100),('TAS Apr 2019'!T3*'TAS Apr 2019'!S3/100))),0)</f>
        <v>0</v>
      </c>
      <c r="G9" s="135">
        <v>0</v>
      </c>
      <c r="H9" s="133">
        <f>IF(AND('TAS Apr 2019'!R3&gt;0,'TAS Apr 2019'!T3&gt;0),IF(($C$5&lt;'TAS Apr 2019'!T3),(0),($C$5-'TAS Apr 2019'!T3)*'TAS Apr 2019'!U3/100),IF(AND('TAS Apr 2019'!R3&gt;0,'TAS Apr 2019'!T3=""),IF(($C$5&lt;'TAS Apr 2019'!R3+'TAS Apr 2019'!P3),(0),(($C$5-('TAS Apr 2019'!R3+'TAS Apr 2019'!P3))*'TAS Apr 2019'!S3/100)),IF(AND('TAS Apr 2019'!P3&gt;0,'TAS Apr 2019'!R3=""&gt;0),IF(($C$5&lt;'TAS Apr 2019'!P3),(0),($C$5-'TAS Apr 2019'!P3)*'TAS Apr 2019'!Q3/100),0)))</f>
        <v>1024.6500000000001</v>
      </c>
      <c r="I9" s="137">
        <f>SUM(C9:H9)</f>
        <v>1262.8706000000002</v>
      </c>
      <c r="J9" s="212">
        <f>(I9-C9)*4</f>
        <v>4714.2000000000007</v>
      </c>
      <c r="K9" s="212">
        <f>I9*4</f>
        <v>5051.4824000000008</v>
      </c>
      <c r="L9" s="138">
        <f>K9*1.1</f>
        <v>5556.6306400000012</v>
      </c>
      <c r="M9" s="132">
        <f>'TAS Apr 2019'!BB3</f>
        <v>0</v>
      </c>
      <c r="N9" s="132">
        <f>'TAS Apr 2019'!BC3</f>
        <v>0</v>
      </c>
      <c r="O9" s="132">
        <f>'TAS Apr 2019'!BD3</f>
        <v>0</v>
      </c>
      <c r="P9" s="132">
        <f>'TAS Apr 2019'!BE3</f>
        <v>5</v>
      </c>
      <c r="Q9" s="132" t="str">
        <f>IF(SUM(M9:P9)=0,"No discount",IF(M9&gt;0,"Guaranteed off bill",IF(N9&gt;0,"Guaranteed off usage",IF(O9&gt;0,"Pay-on-time off bill","Pay-on-time off usage"))))</f>
        <v>Pay-on-time off usage</v>
      </c>
      <c r="R9" s="132" t="str">
        <f t="shared" si="0"/>
        <v>Exclusive</v>
      </c>
      <c r="S9" s="206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5051.4824000000008</v>
      </c>
      <c r="T9" s="207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4815.7724000000007</v>
      </c>
      <c r="U9" s="138">
        <f>S9*1.1</f>
        <v>5556.6306400000012</v>
      </c>
      <c r="V9" s="138">
        <f>T9*1.1</f>
        <v>5297.3496400000013</v>
      </c>
      <c r="W9" s="154">
        <f>'TAS Apr 2019'!BL3</f>
        <v>0</v>
      </c>
      <c r="X9" s="155" t="str">
        <f>'TAS Apr 2019'!BM3</f>
        <v>n</v>
      </c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</row>
    <row r="10" spans="1:53" x14ac:dyDescent="0.15"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</row>
    <row r="11" spans="1:53" ht="15" thickBot="1" x14ac:dyDescent="0.2"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</row>
    <row r="12" spans="1:53" x14ac:dyDescent="0.15">
      <c r="A12" s="62" t="s">
        <v>96</v>
      </c>
      <c r="B12" s="63"/>
      <c r="C12" s="63"/>
      <c r="D12" s="79"/>
      <c r="E12" s="79"/>
      <c r="F12" s="79"/>
      <c r="G12" s="79"/>
      <c r="H12" s="79"/>
      <c r="I12" s="80"/>
      <c r="J12" s="80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5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</row>
    <row r="13" spans="1:53" x14ac:dyDescent="0.15">
      <c r="A13" s="66" t="s">
        <v>79</v>
      </c>
      <c r="B13" s="64"/>
      <c r="C13" s="85">
        <v>5000</v>
      </c>
      <c r="D13" s="81"/>
      <c r="E13" s="81"/>
      <c r="F13" s="81"/>
      <c r="G13" s="81"/>
      <c r="H13" s="81"/>
      <c r="I13" s="82"/>
      <c r="J13" s="82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</row>
    <row r="14" spans="1:53" x14ac:dyDescent="0.15">
      <c r="A14" s="66" t="s">
        <v>97</v>
      </c>
      <c r="B14" s="64"/>
      <c r="C14" s="86">
        <v>0.7</v>
      </c>
      <c r="D14" s="81"/>
      <c r="E14" s="81"/>
      <c r="F14" s="81"/>
      <c r="G14" s="81"/>
      <c r="H14" s="81"/>
      <c r="I14" s="82"/>
      <c r="J14" s="82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</row>
    <row r="15" spans="1:53" x14ac:dyDescent="0.15">
      <c r="A15" s="66" t="s">
        <v>148</v>
      </c>
      <c r="B15" s="64"/>
      <c r="C15" s="86">
        <v>0.3</v>
      </c>
      <c r="D15" s="81"/>
      <c r="E15" s="81"/>
      <c r="F15" s="81"/>
      <c r="G15" s="81"/>
      <c r="H15" s="81"/>
      <c r="I15" s="82"/>
      <c r="J15" s="82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</row>
    <row r="16" spans="1:53" x14ac:dyDescent="0.15">
      <c r="A16" s="66"/>
      <c r="B16" s="64"/>
      <c r="C16" s="81"/>
      <c r="D16" s="81"/>
      <c r="E16" s="81"/>
      <c r="F16" s="81"/>
      <c r="G16" s="81"/>
      <c r="H16" s="81"/>
      <c r="I16" s="82"/>
      <c r="J16" s="8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</row>
    <row r="17" spans="1:53" ht="75" x14ac:dyDescent="0.15">
      <c r="A17" s="251" t="s">
        <v>73</v>
      </c>
      <c r="B17" s="147" t="s">
        <v>80</v>
      </c>
      <c r="C17" s="141" t="s">
        <v>81</v>
      </c>
      <c r="D17" s="141" t="s">
        <v>82</v>
      </c>
      <c r="E17" s="141" t="s">
        <v>83</v>
      </c>
      <c r="F17" s="141" t="s">
        <v>84</v>
      </c>
      <c r="G17" s="141" t="s">
        <v>86</v>
      </c>
      <c r="H17" s="141" t="s">
        <v>96</v>
      </c>
      <c r="I17" s="141" t="s">
        <v>87</v>
      </c>
      <c r="J17" s="141" t="s">
        <v>243</v>
      </c>
      <c r="K17" s="142" t="s">
        <v>61</v>
      </c>
      <c r="L17" s="142" t="s">
        <v>246</v>
      </c>
      <c r="M17" s="143" t="s">
        <v>62</v>
      </c>
      <c r="N17" s="143" t="s">
        <v>63</v>
      </c>
      <c r="O17" s="143" t="s">
        <v>64</v>
      </c>
      <c r="P17" s="143" t="s">
        <v>65</v>
      </c>
      <c r="Q17" s="143" t="s">
        <v>244</v>
      </c>
      <c r="R17" s="143" t="s">
        <v>245</v>
      </c>
      <c r="S17" s="144" t="s">
        <v>247</v>
      </c>
      <c r="T17" s="144" t="s">
        <v>248</v>
      </c>
      <c r="U17" s="144" t="s">
        <v>25</v>
      </c>
      <c r="V17" s="144" t="s">
        <v>26</v>
      </c>
      <c r="W17" s="143" t="s">
        <v>68</v>
      </c>
      <c r="X17" s="145" t="s">
        <v>95</v>
      </c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</row>
    <row r="18" spans="1:53" x14ac:dyDescent="0.15">
      <c r="A18" s="182" t="str">
        <f>'TAS Apr 2019'!K4</f>
        <v>Aurora Energy</v>
      </c>
      <c r="B18" s="183" t="str">
        <f>'TAS Apr 2019'!L4</f>
        <v>Regulated</v>
      </c>
      <c r="C18" s="184">
        <f>IF('TAS Apr 2019'!BP4=0,91*'TAS Apr 2019'!M4/100,(91*'TAS Apr 2019'!M4/100)+'TAS Apr 2019'!BP4/4)</f>
        <v>99.437520000000006</v>
      </c>
      <c r="D18" s="184">
        <f>IF('TAS Apr 2019'!O4="",$C$13*$C$14*'TAS Apr 2019'!N4/100,IF($C$13*$C$14&gt;='TAS Apr 2019'!P4,('TAS Apr 2019'!P4*'TAS Apr 2019'!N4/100),($C$13*$C$14*'TAS Apr 2019'!N4/100)))</f>
        <v>153.92500000000001</v>
      </c>
      <c r="E18" s="184">
        <f>IF(AND('TAS Apr 2019'!P4&gt;0,'TAS Apr 2019'!R4&gt;0),IF($C$13*$C$14&lt;'TAS Apr 2019'!P4,0,IF($C$13*$C$14&lt;=('TAS Apr 2019'!R4+'TAS Apr 2019'!P4),(($C$13*$C$14-'TAS Apr 2019'!P4)*'TAS Apr 2019'!Q4/100),(('TAS Apr 2019'!R4)*'TAS Apr 2019'!Q4/100))),0)</f>
        <v>0</v>
      </c>
      <c r="F18" s="184">
        <f>IF(AND('TAS Apr 2019'!Q4&gt;0,'TAS Apr 2019'!S4&gt;0),IF($C$13*$C$14&lt;('TAS Apr 2019'!R4+'TAS Apr 2019'!P4),0,IF($C$13*$C$14&lt;=('TAS Apr 2019'!T4+'TAS Apr 2019'!R4+'TAS Apr 2019'!P4),(($C$13*$C$14-('TAS Apr 2019'!R4+'TAS Apr 2019'!P4))*'TAS Apr 2019'!S4/100),('TAS Apr 2019'!T4*'TAS Apr 2019'!S4/100))),0)</f>
        <v>0</v>
      </c>
      <c r="G18" s="184">
        <f>IF(AND('TAS Apr 2019'!R4&gt;0,'TAS Apr 2019'!T4&gt;0),IF(($C$13*$C$14&lt;'TAS Apr 2019'!T4),(0),($C$13*$C$14-'TAS Apr 2019'!T4)*'TAS Apr 2019'!U4/100),IF(AND('TAS Apr 2019'!R4&gt;0,'TAS Apr 2019'!T4=""),IF(($C$13*$C$14&lt;'TAS Apr 2019'!R4+'TAS Apr 2019'!P4),(0),(($C$13*$C$14-('TAS Apr 2019'!R4+'TAS Apr 2019'!P4))*'TAS Apr 2019'!S4/100)),IF(AND('TAS Apr 2019'!P4&gt;0,'TAS Apr 2019'!R4=""&gt;0),IF(($C$13*$C$14&lt;'TAS Apr 2019'!P4),(0),($C$13*$C$14-'TAS Apr 2019'!P4)*'TAS Apr 2019'!Q4/100),0)))</f>
        <v>683.22</v>
      </c>
      <c r="H18" s="186">
        <f>($C$13*$C$15)*'TAS Apr 2019'!AF4/100</f>
        <v>218.745</v>
      </c>
      <c r="I18" s="187">
        <f>SUM(C18:H18)</f>
        <v>1155.32752</v>
      </c>
      <c r="J18" s="208">
        <f>(I18-C18)*4</f>
        <v>4223.5600000000004</v>
      </c>
      <c r="K18" s="208">
        <f>I18*4</f>
        <v>4621.3100800000002</v>
      </c>
      <c r="L18" s="188">
        <f>K18*1.1</f>
        <v>5083.4410880000005</v>
      </c>
      <c r="M18" s="189">
        <f>'TAS Apr 2019'!BB4</f>
        <v>0</v>
      </c>
      <c r="N18" s="189">
        <f>'TAS Apr 2019'!BC4</f>
        <v>0</v>
      </c>
      <c r="O18" s="189">
        <f>'TAS Apr 2019'!BD4</f>
        <v>0</v>
      </c>
      <c r="P18" s="189">
        <f>'TAS Apr 2019'!BE4</f>
        <v>0</v>
      </c>
      <c r="Q18" s="189" t="str">
        <f>IF(SUM(M18:P18)=0,"No discount",IF(M18&gt;0,"Guaranteed off bill",IF(N18&gt;0,"Guaranteed off usage",IF(O18&gt;0,"Pay-on-time off bill","Pay-on-time off usage"))))</f>
        <v>No discount</v>
      </c>
      <c r="R18" s="189" t="str">
        <f t="shared" ref="R18:R19" si="1">IF(OR(A18="Origin Energy",A18="Red Energy",A18="Powershop"),"Inclusive","Exclusive")</f>
        <v>Exclusive</v>
      </c>
      <c r="S18" s="213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4621.3100800000002</v>
      </c>
      <c r="T18" s="213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4621.3100800000002</v>
      </c>
      <c r="U18" s="188">
        <f>S18*1.1</f>
        <v>5083.4410880000005</v>
      </c>
      <c r="V18" s="188">
        <f>T18*1.1</f>
        <v>5083.4410880000005</v>
      </c>
      <c r="W18" s="190">
        <f>'TAS Apr 2019'!BL4</f>
        <v>0</v>
      </c>
      <c r="X18" s="191" t="str">
        <f>'TAS Apr 2019'!BM4</f>
        <v>n</v>
      </c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</row>
    <row r="19" spans="1:53" ht="15" thickBot="1" x14ac:dyDescent="0.2">
      <c r="A19" s="153" t="str">
        <f>'TAS Apr 2019'!K5</f>
        <v>1st Energy</v>
      </c>
      <c r="B19" s="160" t="str">
        <f>'TAS Apr 2019'!L5</f>
        <v>1st Saver</v>
      </c>
      <c r="C19" s="133">
        <f>IF('TAS Apr 2019'!BP5=0,91*'TAS Apr 2019'!M5/100,(91*'TAS Apr 2019'!M5/100)+'TAS Apr 2019'!BP5/4)</f>
        <v>99.437520000000006</v>
      </c>
      <c r="D19" s="133">
        <f>IF('TAS Apr 2019'!O5="",$C$13*$C$14*'TAS Apr 2019'!N5/100,IF($C$13*$C$14&gt;='TAS Apr 2019'!P5,('TAS Apr 2019'!P5*'TAS Apr 2019'!N5/100),($C$13*$C$14*'TAS Apr 2019'!N5/100)))</f>
        <v>153.9</v>
      </c>
      <c r="E19" s="133">
        <f>IF(AND('TAS Apr 2019'!P5&gt;0,'TAS Apr 2019'!R5&gt;0),IF($C$13*$C$14&lt;'TAS Apr 2019'!P5,0,IF($C$13*$C$14&lt;=('TAS Apr 2019'!R5+'TAS Apr 2019'!P5),(($C$13*$C$14-'TAS Apr 2019'!P5)*'TAS Apr 2019'!Q5/100),(('TAS Apr 2019'!R5)*'TAS Apr 2019'!Q5/100))),0)</f>
        <v>0</v>
      </c>
      <c r="F19" s="133">
        <f>IF(AND('TAS Apr 2019'!Q5&gt;0,'TAS Apr 2019'!S5&gt;0),IF($C$13*$C$14&lt;('TAS Apr 2019'!R5+'TAS Apr 2019'!P5),0,IF($C$13*$C$14&lt;=('TAS Apr 2019'!T5+'TAS Apr 2019'!R5+'TAS Apr 2019'!P5),(($C$13*$C$14-('TAS Apr 2019'!R5+'TAS Apr 2019'!P5))*'TAS Apr 2019'!S5/100),('TAS Apr 2019'!T5*'TAS Apr 2019'!S5/100))),0)</f>
        <v>0</v>
      </c>
      <c r="G19" s="133">
        <f>IF(AND('TAS Apr 2019'!R5&gt;0,'TAS Apr 2019'!T5&gt;0),IF(($C$13*$C$14&lt;'TAS Apr 2019'!T5),(0),($C$13*$C$14-'TAS Apr 2019'!T5)*'TAS Apr 2019'!U5/100),IF(AND('TAS Apr 2019'!R5&gt;0,'TAS Apr 2019'!T5=""),IF(($C$13*$C$14&lt;'TAS Apr 2019'!R5+'TAS Apr 2019'!P5),(0),(($C$13*$C$14-('TAS Apr 2019'!R5+'TAS Apr 2019'!P5))*'TAS Apr 2019'!S5/100)),IF(AND('TAS Apr 2019'!P5&gt;0,'TAS Apr 2019'!R5=""&gt;0),IF(($C$13*$C$14&lt;'TAS Apr 2019'!P5),(0),($C$13*$C$14-'TAS Apr 2019'!P5)*'TAS Apr 2019'!Q5/100),0)))</f>
        <v>683.1</v>
      </c>
      <c r="H19" s="136">
        <f>($C$13*$C$15)*'TAS Apr 2019'!AF5/100</f>
        <v>218.73</v>
      </c>
      <c r="I19" s="137">
        <f>SUM(C19:H19)</f>
        <v>1155.16752</v>
      </c>
      <c r="J19" s="212">
        <f>(I19-C19)*4</f>
        <v>4222.92</v>
      </c>
      <c r="K19" s="212">
        <f>I19*4</f>
        <v>4620.6700799999999</v>
      </c>
      <c r="L19" s="138">
        <f>K19*1.1</f>
        <v>5082.7370879999999</v>
      </c>
      <c r="M19" s="132">
        <f>'TAS Apr 2019'!BB5</f>
        <v>0</v>
      </c>
      <c r="N19" s="132">
        <f>'TAS Apr 2019'!BC5</f>
        <v>0</v>
      </c>
      <c r="O19" s="132">
        <f>'TAS Apr 2019'!BD5</f>
        <v>0</v>
      </c>
      <c r="P19" s="132">
        <f>'TAS Apr 2019'!BE5</f>
        <v>5</v>
      </c>
      <c r="Q19" s="132" t="str">
        <f>IF(SUM(M19:P19)=0,"No discount",IF(M19&gt;0,"Guaranteed off bill",IF(N19&gt;0,"Guaranteed off usage",IF(O19&gt;0,"Pay-on-time off bill","Pay-on-time off usage"))))</f>
        <v>Pay-on-time off usage</v>
      </c>
      <c r="R19" s="132" t="str">
        <f t="shared" si="1"/>
        <v>Exclusive</v>
      </c>
      <c r="S19" s="206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4620.6700799999999</v>
      </c>
      <c r="T19" s="207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4409.5240800000001</v>
      </c>
      <c r="U19" s="138">
        <f>S19*1.1</f>
        <v>5082.7370879999999</v>
      </c>
      <c r="V19" s="138">
        <f>T19*1.1</f>
        <v>4850.4764880000002</v>
      </c>
      <c r="W19" s="154">
        <f>'TAS Apr 2019'!BL5</f>
        <v>0</v>
      </c>
      <c r="X19" s="155" t="str">
        <f>'TAS Apr 2019'!BM5</f>
        <v>n</v>
      </c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</row>
    <row r="20" spans="1:53" x14ac:dyDescent="0.15"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</row>
    <row r="21" spans="1:53" ht="15" thickBot="1" x14ac:dyDescent="0.2">
      <c r="S21" s="176"/>
      <c r="U21" s="176"/>
      <c r="V21" s="176"/>
      <c r="W21" s="176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</row>
    <row r="22" spans="1:53" x14ac:dyDescent="0.15">
      <c r="A22" s="62" t="s">
        <v>33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5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</row>
    <row r="23" spans="1:53" x14ac:dyDescent="0.15">
      <c r="A23" s="66" t="s">
        <v>22</v>
      </c>
      <c r="B23" s="64"/>
      <c r="C23" s="85">
        <v>5000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</row>
    <row r="24" spans="1:53" x14ac:dyDescent="0.15">
      <c r="A24" s="66" t="s">
        <v>23</v>
      </c>
      <c r="B24" s="64"/>
      <c r="C24" s="86">
        <v>0.3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</row>
    <row r="25" spans="1:53" x14ac:dyDescent="0.15">
      <c r="A25" s="66" t="s">
        <v>24</v>
      </c>
      <c r="B25" s="64"/>
      <c r="C25" s="86">
        <v>0.4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</row>
    <row r="26" spans="1:53" x14ac:dyDescent="0.15">
      <c r="A26" s="66" t="s">
        <v>21</v>
      </c>
      <c r="B26" s="64"/>
      <c r="C26" s="86">
        <v>0.3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</row>
    <row r="27" spans="1:53" x14ac:dyDescent="0.15">
      <c r="A27" s="66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</row>
    <row r="28" spans="1:53" ht="75" x14ac:dyDescent="0.15">
      <c r="A28" s="251" t="s">
        <v>35</v>
      </c>
      <c r="B28" s="147" t="s">
        <v>36</v>
      </c>
      <c r="C28" s="141" t="s">
        <v>27</v>
      </c>
      <c r="D28" s="141" t="s">
        <v>153</v>
      </c>
      <c r="E28" s="141" t="s">
        <v>83</v>
      </c>
      <c r="F28" s="141" t="s">
        <v>154</v>
      </c>
      <c r="G28" s="141" t="s">
        <v>155</v>
      </c>
      <c r="H28" s="141" t="s">
        <v>156</v>
      </c>
      <c r="I28" s="141" t="s">
        <v>87</v>
      </c>
      <c r="J28" s="141" t="s">
        <v>243</v>
      </c>
      <c r="K28" s="142" t="s">
        <v>157</v>
      </c>
      <c r="L28" s="142" t="s">
        <v>246</v>
      </c>
      <c r="M28" s="143" t="s">
        <v>94</v>
      </c>
      <c r="N28" s="143" t="s">
        <v>123</v>
      </c>
      <c r="O28" s="143" t="s">
        <v>124</v>
      </c>
      <c r="P28" s="143" t="s">
        <v>125</v>
      </c>
      <c r="Q28" s="143" t="s">
        <v>244</v>
      </c>
      <c r="R28" s="143" t="s">
        <v>245</v>
      </c>
      <c r="S28" s="144" t="s">
        <v>247</v>
      </c>
      <c r="T28" s="144" t="s">
        <v>248</v>
      </c>
      <c r="U28" s="144" t="s">
        <v>25</v>
      </c>
      <c r="V28" s="144" t="s">
        <v>26</v>
      </c>
      <c r="W28" s="143" t="s">
        <v>55</v>
      </c>
      <c r="X28" s="145" t="s">
        <v>160</v>
      </c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</row>
    <row r="29" spans="1:53" x14ac:dyDescent="0.15">
      <c r="A29" s="214" t="str">
        <f>'TAS Apr 2019'!K6</f>
        <v>Aurora Energy</v>
      </c>
      <c r="B29" s="159" t="str">
        <f>'TAS Apr 2019'!L6</f>
        <v>Regulated</v>
      </c>
      <c r="C29" s="215">
        <f>IF('TAS Apr 2019'!BP6=0,91*'TAS Apr 2019'!M6/100,(91*'TAS Apr 2019'!M6/100)+'TAS Apr 2019'!BP6/4)</f>
        <v>91.336700000000008</v>
      </c>
      <c r="D29" s="127">
        <f>IF('TAS Apr 2019'!O6="",$C$23*$C$24*'TAS Apr 2019'!N6/100,IF($C$23*$C$24&gt;='TAS Apr 2019'!P6,('TAS Apr 2019'!P6*'TAS Apr 2019'!N6/100),($C$23*$C$24*'TAS Apr 2019'!N6/100)))</f>
        <v>379.995</v>
      </c>
      <c r="E29" s="124">
        <f>IF(AND('TAS Apr 2019'!P6&gt;0,'TAS Apr 2019'!R6&gt;0),IF($C$23*$C$24&lt;'TAS Apr 2019'!P6,0,IF($C$23*$C$24&lt;=('TAS Apr 2019'!R6+'TAS Apr 2019'!P6),(($C$23*$C$24-'TAS Apr 2019'!P6)*'TAS Apr 2019'!Q6/100),(('TAS Apr 2019'!R6)*'TAS Apr 2019'!Q6/100))),0)</f>
        <v>0</v>
      </c>
      <c r="F29" s="124">
        <f>IF(AND('TAS Apr 2019'!R6&gt;0,'TAS Apr 2019'!T6&gt;0),IF(($C$23*$C$24&lt;'TAS Apr 2019'!T6),(0),($C$23*$C$24-'TAS Apr 2019'!T6)*'TAS Apr 2019'!U6/100),IF(AND('TAS Apr 2019'!R6&gt;0,'TAS Apr 2019'!T6=""),IF(($C$23*$C$24&lt;'TAS Apr 2019'!R6+'TAS Apr 2019'!P6),(0),(($C$23*$C$24-('TAS Apr 2019'!R6+'TAS Apr 2019'!P6))*'TAS Apr 2019'!S6/100)),IF(AND('TAS Apr 2019'!P6&gt;0,'TAS Apr 2019'!R6=""&gt;0),IF(($C$23*$C$24&lt;'TAS Apr 2019'!P6),(0),($C$23*$C$24-'TAS Apr 2019'!P6)*'TAS Apr 2019'!Q6/100),0)))</f>
        <v>0</v>
      </c>
      <c r="G29" s="126">
        <f>($C$23*$C$25)*'TAS Apr 2019'!AI6/100</f>
        <v>366.2</v>
      </c>
      <c r="H29" s="124">
        <f>($C$23*$C$26)*'TAS Apr 2019'!W6/100</f>
        <v>160.65</v>
      </c>
      <c r="I29" s="128">
        <f>SUM(C29:H29)</f>
        <v>998.18169999999998</v>
      </c>
      <c r="J29" s="209">
        <f>(I29-C29)*4</f>
        <v>3627.38</v>
      </c>
      <c r="K29" s="209">
        <f>I29*4</f>
        <v>3992.7267999999999</v>
      </c>
      <c r="L29" s="129">
        <f>K29*1.1</f>
        <v>4391.9994800000004</v>
      </c>
      <c r="M29" s="123">
        <f>'TAS Apr 2019'!BB6</f>
        <v>0</v>
      </c>
      <c r="N29" s="123">
        <f>'TAS Apr 2019'!BC6</f>
        <v>0</v>
      </c>
      <c r="O29" s="123">
        <f>'TAS Apr 2019'!BD6</f>
        <v>0</v>
      </c>
      <c r="P29" s="123">
        <f>'TAS Apr 2019'!BE6</f>
        <v>0</v>
      </c>
      <c r="Q29" s="123" t="str">
        <f>IF(SUM(M29:P29)=0,"No discount",IF(M29&gt;0,"Guaranteed off bill",IF(N29&gt;0,"Guaranteed off usage",IF(O29&gt;0,"Pay-on-time off bill","Pay-on-time off usage"))))</f>
        <v>No discount</v>
      </c>
      <c r="R29" s="123" t="str">
        <f t="shared" ref="R29:R30" si="2">IF(OR(A29="Origin Energy",A29="Red Energy",A29="Powershop"),"Inclusive","Exclusive")</f>
        <v>Exclusive</v>
      </c>
      <c r="S29" s="209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3992.7267999999999</v>
      </c>
      <c r="T29" s="209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3992.7267999999999</v>
      </c>
      <c r="U29" s="216">
        <f>S29*1.1</f>
        <v>4391.9994800000004</v>
      </c>
      <c r="V29" s="217">
        <f>T29*1.1</f>
        <v>4391.9994800000004</v>
      </c>
      <c r="W29" s="151">
        <f>'TAS Apr 2019'!BL6</f>
        <v>0</v>
      </c>
      <c r="X29" s="191" t="str">
        <f>'TAS Apr 2019'!BM6</f>
        <v>n</v>
      </c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</row>
    <row r="30" spans="1:53" ht="15" thickBot="1" x14ac:dyDescent="0.2">
      <c r="A30" s="153" t="str">
        <f>'TAS Apr 2019'!K7</f>
        <v>1st Energy</v>
      </c>
      <c r="B30" s="160" t="str">
        <f>'TAS Apr 2019'!L7</f>
        <v>1st Saver</v>
      </c>
      <c r="C30" s="133">
        <f>IF('TAS Apr 2019'!BP6=0,91*'TAS Apr 2019'!M6/100,(91*'TAS Apr 2019'!M6/100)+'TAS Apr 2019'!BP6/4)</f>
        <v>91.336700000000008</v>
      </c>
      <c r="D30" s="133">
        <f>IF('TAS Apr 2019'!O7="",$C$23*$C$24*'TAS Apr 2019'!N7/100,IF($C$23*$C$24&gt;='TAS Apr 2019'!P7,('TAS Apr 2019'!P7*'TAS Apr 2019'!N7/100),($C$23*$C$24*'TAS Apr 2019'!N7/100)))</f>
        <v>379.95</v>
      </c>
      <c r="E30" s="133">
        <f>IF(AND('TAS Apr 2019'!P7&gt;0,'TAS Apr 2019'!R7&gt;0),IF($C$23*$C$24&lt;'TAS Apr 2019'!P7,0,IF($C$23*$C$24&lt;=('TAS Apr 2019'!R7+'TAS Apr 2019'!P7),(($C$23*$C$24-'TAS Apr 2019'!P7)*'TAS Apr 2019'!Q7/100),(('TAS Apr 2019'!R7)*'TAS Apr 2019'!Q7/100))),0)</f>
        <v>0</v>
      </c>
      <c r="F30" s="133">
        <f>IF(AND('TAS Apr 2019'!R7&gt;0,'TAS Apr 2019'!T7&gt;0),IF(($C$23*$C$24&lt;'TAS Apr 2019'!T7),(0),($C$23*$C$24-'TAS Apr 2019'!T7)*'TAS Apr 2019'!U7/100),IF(AND('TAS Apr 2019'!R7&gt;0,'TAS Apr 2019'!T7=""),IF(($C$23*$C$24&lt;'TAS Apr 2019'!R7+'TAS Apr 2019'!P7),(0),(($C$23*$C$24-('TAS Apr 2019'!R7+'TAS Apr 2019'!P7))*'TAS Apr 2019'!S7/100)),IF(AND('TAS Apr 2019'!P7&gt;0,'TAS Apr 2019'!R7=""&gt;0),IF(($C$23*$C$24&lt;'TAS Apr 2019'!P7),(0),($C$23*$C$24-'TAS Apr 2019'!P7)*'TAS Apr 2019'!Q7/100),0)))</f>
        <v>0</v>
      </c>
      <c r="G30" s="135">
        <f>($C$23*$C$25)*'TAS Apr 2019'!AI7/100</f>
        <v>366.2</v>
      </c>
      <c r="H30" s="136">
        <f>($C$23*$C$26)*'TAS Apr 2019'!W7/100</f>
        <v>160.65</v>
      </c>
      <c r="I30" s="137">
        <f>SUM(C30:H30)</f>
        <v>998.13669999999991</v>
      </c>
      <c r="J30" s="212">
        <f>(I30-C30)*4</f>
        <v>3627.2</v>
      </c>
      <c r="K30" s="212">
        <f>I30*4</f>
        <v>3992.5467999999996</v>
      </c>
      <c r="L30" s="138">
        <f>K30*1.1</f>
        <v>4391.8014800000001</v>
      </c>
      <c r="M30" s="132">
        <f>'TAS Apr 2019'!BB7</f>
        <v>0</v>
      </c>
      <c r="N30" s="132">
        <f>'TAS Apr 2019'!BC7</f>
        <v>0</v>
      </c>
      <c r="O30" s="132">
        <f>'TAS Apr 2019'!BD7</f>
        <v>0</v>
      </c>
      <c r="P30" s="132">
        <f>'TAS Apr 2019'!BE7</f>
        <v>5</v>
      </c>
      <c r="Q30" s="132" t="str">
        <f>IF(SUM(M30:P30)=0,"No discount",IF(M30&gt;0,"Guaranteed off bill",IF(N30&gt;0,"Guaranteed off usage",IF(O30&gt;0,"Pay-on-time off bill","Pay-on-time off usage"))))</f>
        <v>Pay-on-time off usage</v>
      </c>
      <c r="R30" s="218" t="str">
        <f t="shared" si="2"/>
        <v>Exclusive</v>
      </c>
      <c r="S30" s="219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3992.5467999999996</v>
      </c>
      <c r="T30" s="207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3811.1867999999995</v>
      </c>
      <c r="U30" s="138">
        <f>S30*1.1</f>
        <v>4391.8014800000001</v>
      </c>
      <c r="V30" s="138">
        <f>T30*1.1</f>
        <v>4192.30548</v>
      </c>
      <c r="W30" s="154">
        <f>'TAS Apr 2019'!BL7</f>
        <v>0</v>
      </c>
      <c r="X30" s="155" t="str">
        <f>'TAS Apr 2019'!BM7</f>
        <v>n</v>
      </c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</row>
    <row r="31" spans="1:53" x14ac:dyDescent="0.15"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</row>
    <row r="32" spans="1:53" x14ac:dyDescent="0.15">
      <c r="S32" s="178"/>
      <c r="T32" s="178"/>
      <c r="U32" s="178"/>
      <c r="V32" s="178"/>
      <c r="W32" s="178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</row>
    <row r="33" spans="19:53" x14ac:dyDescent="0.15">
      <c r="S33" s="178"/>
      <c r="T33" s="178"/>
      <c r="U33" s="178"/>
      <c r="V33" s="178"/>
      <c r="W33" s="178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</row>
    <row r="34" spans="19:53" x14ac:dyDescent="0.15">
      <c r="S34" s="178"/>
      <c r="T34" s="178"/>
      <c r="U34" s="178"/>
      <c r="V34" s="178"/>
      <c r="W34" s="178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</row>
    <row r="35" spans="19:53" x14ac:dyDescent="0.15">
      <c r="S35" s="178"/>
      <c r="T35" s="178"/>
      <c r="U35" s="178"/>
      <c r="V35" s="178"/>
      <c r="W35" s="178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</row>
    <row r="36" spans="19:53" x14ac:dyDescent="0.15">
      <c r="S36" s="178"/>
      <c r="T36" s="178"/>
      <c r="U36" s="178"/>
      <c r="V36" s="178"/>
      <c r="W36" s="178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</row>
    <row r="37" spans="19:53" x14ac:dyDescent="0.15">
      <c r="S37" s="178"/>
      <c r="T37" s="178"/>
      <c r="U37" s="178"/>
      <c r="V37" s="178"/>
      <c r="W37" s="178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</row>
    <row r="38" spans="19:53" x14ac:dyDescent="0.15">
      <c r="S38" s="178"/>
      <c r="T38" s="178"/>
      <c r="U38" s="178"/>
      <c r="V38" s="178"/>
      <c r="W38" s="178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</row>
    <row r="39" spans="19:53" x14ac:dyDescent="0.15">
      <c r="S39" s="178"/>
      <c r="T39" s="178"/>
      <c r="U39" s="178"/>
      <c r="V39" s="178"/>
      <c r="W39" s="178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</row>
    <row r="40" spans="19:53" x14ac:dyDescent="0.15">
      <c r="S40" s="178"/>
      <c r="T40" s="178"/>
      <c r="U40" s="178"/>
      <c r="V40" s="178"/>
      <c r="W40" s="178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</row>
    <row r="41" spans="19:53" x14ac:dyDescent="0.15">
      <c r="S41" s="178"/>
      <c r="T41" s="178"/>
      <c r="U41" s="178"/>
      <c r="V41" s="178"/>
      <c r="W41" s="178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</row>
    <row r="42" spans="19:53" x14ac:dyDescent="0.15">
      <c r="S42" s="178"/>
      <c r="T42" s="178"/>
      <c r="U42" s="178"/>
      <c r="V42" s="178"/>
      <c r="W42" s="178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</row>
    <row r="43" spans="19:53" x14ac:dyDescent="0.15">
      <c r="S43" s="178"/>
      <c r="T43" s="178"/>
      <c r="U43" s="178"/>
      <c r="V43" s="178"/>
      <c r="W43" s="178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</row>
    <row r="44" spans="19:53" x14ac:dyDescent="0.15">
      <c r="S44" s="178"/>
      <c r="T44" s="178"/>
      <c r="U44" s="178"/>
      <c r="V44" s="178"/>
      <c r="W44" s="178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</row>
    <row r="45" spans="19:53" x14ac:dyDescent="0.15">
      <c r="S45" s="178"/>
      <c r="T45" s="178"/>
      <c r="U45" s="178"/>
      <c r="V45" s="178"/>
      <c r="W45" s="178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</row>
    <row r="46" spans="19:53" x14ac:dyDescent="0.15">
      <c r="S46" s="178"/>
      <c r="T46" s="178"/>
      <c r="U46" s="178"/>
      <c r="V46" s="178"/>
      <c r="W46" s="178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</row>
    <row r="47" spans="19:53" x14ac:dyDescent="0.15">
      <c r="S47" s="178"/>
      <c r="T47" s="178"/>
      <c r="U47" s="178"/>
      <c r="V47" s="178"/>
      <c r="W47" s="178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</row>
    <row r="48" spans="19:53" x14ac:dyDescent="0.15">
      <c r="S48" s="178"/>
      <c r="T48" s="178"/>
      <c r="U48" s="178"/>
      <c r="V48" s="178"/>
      <c r="W48" s="178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</row>
    <row r="49" spans="19:53" x14ac:dyDescent="0.15">
      <c r="S49" s="178"/>
      <c r="T49" s="178"/>
      <c r="U49" s="178"/>
      <c r="V49" s="178"/>
      <c r="W49" s="178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</row>
    <row r="50" spans="19:53" x14ac:dyDescent="0.15">
      <c r="S50" s="178"/>
      <c r="T50" s="178"/>
      <c r="U50" s="178"/>
      <c r="V50" s="178"/>
      <c r="W50" s="178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</row>
    <row r="51" spans="19:53" x14ac:dyDescent="0.15">
      <c r="S51" s="178"/>
      <c r="T51" s="178"/>
      <c r="U51" s="178"/>
      <c r="V51" s="178"/>
      <c r="W51" s="178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</row>
    <row r="52" spans="19:53" x14ac:dyDescent="0.15">
      <c r="S52" s="178"/>
      <c r="T52" s="178"/>
      <c r="U52" s="178"/>
      <c r="V52" s="178"/>
      <c r="W52" s="178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</row>
    <row r="53" spans="19:53" x14ac:dyDescent="0.15">
      <c r="S53" s="178"/>
      <c r="T53" s="178"/>
      <c r="U53" s="178"/>
      <c r="V53" s="178"/>
      <c r="W53" s="178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</row>
    <row r="54" spans="19:53" x14ac:dyDescent="0.15">
      <c r="S54" s="178"/>
      <c r="T54" s="178"/>
      <c r="U54" s="178"/>
      <c r="V54" s="178"/>
      <c r="W54" s="178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</row>
    <row r="55" spans="19:53" x14ac:dyDescent="0.15">
      <c r="S55" s="178"/>
      <c r="T55" s="178"/>
      <c r="U55" s="178"/>
      <c r="V55" s="178"/>
      <c r="W55" s="178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</row>
    <row r="56" spans="19:53" x14ac:dyDescent="0.15">
      <c r="S56" s="178"/>
      <c r="T56" s="178"/>
      <c r="U56" s="178"/>
      <c r="V56" s="178"/>
      <c r="W56" s="178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</row>
    <row r="57" spans="19:53" x14ac:dyDescent="0.15">
      <c r="S57" s="178"/>
      <c r="T57" s="178"/>
      <c r="U57" s="178"/>
      <c r="V57" s="178"/>
      <c r="W57" s="178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</row>
    <row r="58" spans="19:53" x14ac:dyDescent="0.15">
      <c r="S58" s="178"/>
      <c r="T58" s="178"/>
      <c r="U58" s="178"/>
      <c r="V58" s="178"/>
      <c r="W58" s="178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</row>
    <row r="59" spans="19:53" x14ac:dyDescent="0.15">
      <c r="S59" s="178"/>
      <c r="T59" s="178"/>
      <c r="U59" s="178"/>
      <c r="V59" s="178"/>
      <c r="W59" s="178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</row>
    <row r="60" spans="19:53" x14ac:dyDescent="0.15">
      <c r="S60" s="178"/>
      <c r="T60" s="178"/>
      <c r="U60" s="178"/>
      <c r="V60" s="178"/>
      <c r="W60" s="178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</row>
    <row r="61" spans="19:53" x14ac:dyDescent="0.15">
      <c r="S61" s="178"/>
      <c r="T61" s="178"/>
      <c r="U61" s="178"/>
      <c r="V61" s="178"/>
      <c r="W61" s="178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</row>
    <row r="62" spans="19:53" x14ac:dyDescent="0.15">
      <c r="S62" s="178"/>
      <c r="T62" s="178"/>
      <c r="U62" s="178"/>
      <c r="V62" s="178"/>
      <c r="W62" s="178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</row>
    <row r="63" spans="19:53" x14ac:dyDescent="0.15">
      <c r="S63" s="178"/>
      <c r="T63" s="178"/>
      <c r="U63" s="178"/>
      <c r="V63" s="178"/>
      <c r="W63" s="178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</row>
    <row r="64" spans="19:53" x14ac:dyDescent="0.15">
      <c r="S64" s="178"/>
      <c r="T64" s="178"/>
      <c r="U64" s="178"/>
      <c r="V64" s="178"/>
      <c r="W64" s="178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</row>
    <row r="65" spans="19:53" x14ac:dyDescent="0.15">
      <c r="S65" s="178"/>
      <c r="T65" s="178"/>
      <c r="U65" s="178"/>
      <c r="V65" s="178"/>
      <c r="W65" s="178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</row>
    <row r="66" spans="19:53" x14ac:dyDescent="0.15">
      <c r="S66" s="178"/>
      <c r="T66" s="178"/>
      <c r="U66" s="178"/>
      <c r="V66" s="178"/>
      <c r="W66" s="178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</row>
    <row r="67" spans="19:53" x14ac:dyDescent="0.15">
      <c r="S67" s="178"/>
      <c r="T67" s="178"/>
      <c r="U67" s="178"/>
      <c r="V67" s="178"/>
      <c r="W67" s="178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</row>
    <row r="68" spans="19:53" x14ac:dyDescent="0.15">
      <c r="S68" s="178"/>
      <c r="T68" s="178"/>
      <c r="U68" s="178"/>
      <c r="V68" s="178"/>
      <c r="W68" s="178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177"/>
      <c r="AZ68" s="177"/>
      <c r="BA68" s="177"/>
    </row>
    <row r="69" spans="19:53" x14ac:dyDescent="0.15">
      <c r="S69" s="178"/>
      <c r="T69" s="178"/>
      <c r="U69" s="178"/>
      <c r="V69" s="178"/>
      <c r="W69" s="178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</row>
    <row r="70" spans="19:53" x14ac:dyDescent="0.15">
      <c r="S70" s="178"/>
      <c r="T70" s="178"/>
      <c r="U70" s="178"/>
      <c r="V70" s="178"/>
      <c r="W70" s="178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</row>
    <row r="71" spans="19:53" x14ac:dyDescent="0.15">
      <c r="S71" s="178"/>
      <c r="T71" s="178"/>
      <c r="U71" s="178"/>
      <c r="V71" s="178"/>
      <c r="W71" s="178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</row>
    <row r="72" spans="19:53" x14ac:dyDescent="0.15">
      <c r="S72" s="178"/>
      <c r="T72" s="178"/>
      <c r="U72" s="178"/>
      <c r="V72" s="178"/>
      <c r="W72" s="178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</row>
    <row r="73" spans="19:53" x14ac:dyDescent="0.15">
      <c r="S73" s="178"/>
      <c r="T73" s="178"/>
      <c r="U73" s="178"/>
      <c r="V73" s="178"/>
      <c r="W73" s="178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</row>
    <row r="74" spans="19:53" x14ac:dyDescent="0.15">
      <c r="S74" s="178"/>
      <c r="T74" s="178"/>
      <c r="U74" s="178"/>
      <c r="V74" s="178"/>
      <c r="W74" s="178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</row>
  </sheetData>
  <sheetProtection algorithmName="SHA-512" hashValue="MMqIok0Ljc8njfLC4vGRGRfrSa67rceePlfRdF337kg0RZZKlD+4Yy6RmjPQcA7Fltp6EEt7IJFKN3nLDGcAxg==" saltValue="Hcy8PNcN5yU3u/qO7wpxZQ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Notes</vt:lpstr>
      <vt:lpstr>TAS Bills October 2022</vt:lpstr>
      <vt:lpstr>TAS Bills April 2022</vt:lpstr>
      <vt:lpstr>TAS Bills October 2021</vt:lpstr>
      <vt:lpstr>TAS Bills April 2021</vt:lpstr>
      <vt:lpstr>TAS Bills October 2020</vt:lpstr>
      <vt:lpstr>TAS Bills April 2020</vt:lpstr>
      <vt:lpstr>TAS Bills October 2019</vt:lpstr>
      <vt:lpstr>TAS Bills April 2019</vt:lpstr>
      <vt:lpstr>TAS Bills October 2018</vt:lpstr>
      <vt:lpstr>TAS Bills April 2018</vt:lpstr>
      <vt:lpstr>TAS Bills October 2017</vt:lpstr>
      <vt:lpstr>TAS Bills April 2017</vt:lpstr>
      <vt:lpstr>TAS Oct 2022</vt:lpstr>
      <vt:lpstr>TAS Apr 2022</vt:lpstr>
      <vt:lpstr>TAS Oct 2021</vt:lpstr>
      <vt:lpstr>TAS Apr 2021</vt:lpstr>
      <vt:lpstr>TAS Oct 2020</vt:lpstr>
      <vt:lpstr>TAS Apr 2020</vt:lpstr>
      <vt:lpstr>TAS Oct 2019</vt:lpstr>
      <vt:lpstr>TAS Apr 2019</vt:lpstr>
      <vt:lpstr>TAS Bills April 2016</vt:lpstr>
      <vt:lpstr>TAS Oct 2018</vt:lpstr>
      <vt:lpstr>TAS Apr 2018</vt:lpstr>
      <vt:lpstr>TAS Oct 2017</vt:lpstr>
      <vt:lpstr>TAS Apr 2017</vt:lpstr>
      <vt:lpstr>TAS Apr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Mauseth</dc:creator>
  <cp:lastModifiedBy>May Mauseth</cp:lastModifiedBy>
  <dcterms:created xsi:type="dcterms:W3CDTF">2016-05-03T06:20:53Z</dcterms:created>
  <dcterms:modified xsi:type="dcterms:W3CDTF">2022-12-05T01:33:12Z</dcterms:modified>
</cp:coreProperties>
</file>