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Tas/"/>
    </mc:Choice>
  </mc:AlternateContent>
  <xr:revisionPtr revIDLastSave="0" documentId="13_ncr:1_{9FF1EDC5-69C4-3A4F-BFBC-6D10F5D9543C}" xr6:coauthVersionLast="47" xr6:coauthVersionMax="47" xr10:uidLastSave="{00000000-0000-0000-0000-000000000000}"/>
  <workbookProtection workbookAlgorithmName="SHA-512" workbookHashValue="v8pfeUa3vu4PYyTK7hp1KFTlgRGSebQ7AMsPl2wirOnUmc/BChse4gLMcIChJzkLnK7sTAwcuFzwz2MwEjW4dg==" workbookSaltValue="Tyx5hFoO7TrtAXV7sjNh+Q==" workbookSpinCount="100000" lockStructure="1"/>
  <bookViews>
    <workbookView xWindow="6400" yWindow="2540" windowWidth="38400" windowHeight="19540" tabRatio="500" xr2:uid="{00000000-000D-0000-FFFF-FFFF00000000}"/>
  </bookViews>
  <sheets>
    <sheet name="Notes" sheetId="3" r:id="rId1"/>
    <sheet name="TAS Bills April 2023" sheetId="29" r:id="rId2"/>
    <sheet name="TAS Bills October 2022" sheetId="27" r:id="rId3"/>
    <sheet name="TAS Bills April 2022" sheetId="25" r:id="rId4"/>
    <sheet name="TAS Bills October 2021" sheetId="23" r:id="rId5"/>
    <sheet name="TAS Bills April 2021" sheetId="20" r:id="rId6"/>
    <sheet name="TAS Bills October 2020" sheetId="19" r:id="rId7"/>
    <sheet name="TAS Bills April 2020" sheetId="17" r:id="rId8"/>
    <sheet name="TAS Bills October 2019" sheetId="15" r:id="rId9"/>
    <sheet name="TAS Bills April 2019" sheetId="13" r:id="rId10"/>
    <sheet name="TAS Bills October 2018" sheetId="11" r:id="rId11"/>
    <sheet name="TAS Bills April 2018" sheetId="9" r:id="rId12"/>
    <sheet name="TAS Bills October 2017" sheetId="7" r:id="rId13"/>
    <sheet name="TAS Bills April 2017" sheetId="5" r:id="rId14"/>
    <sheet name="TAS Apr 2023" sheetId="28" state="hidden" r:id="rId15"/>
    <sheet name="TAS Oct 2022" sheetId="26" state="hidden" r:id="rId16"/>
    <sheet name="TAS Apr 2022" sheetId="24" state="hidden" r:id="rId17"/>
    <sheet name="TAS Oct 2021" sheetId="22" state="hidden" r:id="rId18"/>
    <sheet name="TAS Apr 2021" sheetId="21" state="hidden" r:id="rId19"/>
    <sheet name="TAS Oct 2020" sheetId="18" state="hidden" r:id="rId20"/>
    <sheet name="TAS Apr 2020" sheetId="16" state="hidden" r:id="rId21"/>
    <sheet name="TAS Oct 2019" sheetId="14" state="hidden" r:id="rId22"/>
    <sheet name="TAS Apr 2019" sheetId="12" state="hidden" r:id="rId23"/>
    <sheet name="TAS Bills April 2016" sheetId="2" state="hidden" r:id="rId24"/>
    <sheet name="TAS Oct 2018" sheetId="10" state="hidden" r:id="rId25"/>
    <sheet name="TAS Apr 2018" sheetId="8" state="hidden" r:id="rId26"/>
    <sheet name="TAS Oct 2017" sheetId="6" state="hidden" r:id="rId27"/>
    <sheet name="TAS Apr 2017" sheetId="4" state="hidden" r:id="rId28"/>
    <sheet name="TAS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5" i="29" l="1"/>
  <c r="O35" i="29"/>
  <c r="N35" i="29"/>
  <c r="M35" i="29"/>
  <c r="Q35" i="29" s="1"/>
  <c r="H35" i="29"/>
  <c r="G35" i="29"/>
  <c r="F35" i="29"/>
  <c r="E35" i="29"/>
  <c r="D35" i="29"/>
  <c r="C35" i="29"/>
  <c r="B35" i="29"/>
  <c r="A35" i="29"/>
  <c r="R35" i="29" s="1"/>
  <c r="P34" i="29"/>
  <c r="O34" i="29"/>
  <c r="N34" i="29"/>
  <c r="M34" i="29"/>
  <c r="H34" i="29"/>
  <c r="G34" i="29"/>
  <c r="F34" i="29"/>
  <c r="E34" i="29"/>
  <c r="D34" i="29"/>
  <c r="C34" i="29"/>
  <c r="B34" i="29"/>
  <c r="A34" i="29"/>
  <c r="R34" i="29" s="1"/>
  <c r="P33" i="29"/>
  <c r="O33" i="29"/>
  <c r="N33" i="29"/>
  <c r="M33" i="29"/>
  <c r="H33" i="29"/>
  <c r="G33" i="29"/>
  <c r="F33" i="29"/>
  <c r="E33" i="29"/>
  <c r="D33" i="29"/>
  <c r="C33" i="29"/>
  <c r="B33" i="29"/>
  <c r="A33" i="29"/>
  <c r="R33" i="29" s="1"/>
  <c r="P23" i="29"/>
  <c r="O23" i="29"/>
  <c r="N23" i="29"/>
  <c r="Q23" i="29" s="1"/>
  <c r="M23" i="29"/>
  <c r="H23" i="29"/>
  <c r="G23" i="29"/>
  <c r="F23" i="29"/>
  <c r="E23" i="29"/>
  <c r="D23" i="29"/>
  <c r="C23" i="29"/>
  <c r="B23" i="29"/>
  <c r="A23" i="29"/>
  <c r="R23" i="29" s="1"/>
  <c r="P22" i="29"/>
  <c r="O22" i="29"/>
  <c r="N22" i="29"/>
  <c r="M22" i="29"/>
  <c r="Q22" i="29" s="1"/>
  <c r="H22" i="29"/>
  <c r="G22" i="29"/>
  <c r="F22" i="29"/>
  <c r="E22" i="29"/>
  <c r="D22" i="29"/>
  <c r="C22" i="29"/>
  <c r="B22" i="29"/>
  <c r="A22" i="29"/>
  <c r="R22" i="29" s="1"/>
  <c r="P21" i="29"/>
  <c r="O21" i="29"/>
  <c r="N21" i="29"/>
  <c r="M21" i="29"/>
  <c r="H21" i="29"/>
  <c r="G21" i="29"/>
  <c r="F21" i="29"/>
  <c r="E21" i="29"/>
  <c r="D21" i="29"/>
  <c r="C21" i="29"/>
  <c r="B21" i="29"/>
  <c r="A21" i="29"/>
  <c r="R21" i="29" s="1"/>
  <c r="P20" i="29"/>
  <c r="O20" i="29"/>
  <c r="N20" i="29"/>
  <c r="M20" i="29"/>
  <c r="H20" i="29"/>
  <c r="G20" i="29"/>
  <c r="F20" i="29"/>
  <c r="E20" i="29"/>
  <c r="D20" i="29"/>
  <c r="C20" i="29"/>
  <c r="B20" i="29"/>
  <c r="A20" i="29"/>
  <c r="P11" i="29"/>
  <c r="O11" i="29"/>
  <c r="N11" i="29"/>
  <c r="Q11" i="29" s="1"/>
  <c r="M11" i="29"/>
  <c r="H11" i="29"/>
  <c r="F11" i="29"/>
  <c r="E11" i="29"/>
  <c r="D11" i="29"/>
  <c r="C11" i="29"/>
  <c r="B11" i="29"/>
  <c r="A11" i="29"/>
  <c r="R11" i="29" s="1"/>
  <c r="P10" i="29"/>
  <c r="Q10" i="29" s="1"/>
  <c r="O10" i="29"/>
  <c r="N10" i="29"/>
  <c r="M10" i="29"/>
  <c r="H10" i="29"/>
  <c r="F10" i="29"/>
  <c r="E10" i="29"/>
  <c r="D10" i="29"/>
  <c r="C10" i="29"/>
  <c r="B10" i="29"/>
  <c r="A10" i="29"/>
  <c r="R10" i="29" s="1"/>
  <c r="P9" i="29"/>
  <c r="O9" i="29"/>
  <c r="N9" i="29"/>
  <c r="M9" i="29"/>
  <c r="H9" i="29"/>
  <c r="F9" i="29"/>
  <c r="E9" i="29"/>
  <c r="D9" i="29"/>
  <c r="C9" i="29"/>
  <c r="B9" i="29"/>
  <c r="A9" i="29"/>
  <c r="P8" i="29"/>
  <c r="O8" i="29"/>
  <c r="N8" i="29"/>
  <c r="M8" i="29"/>
  <c r="H8" i="29"/>
  <c r="F8" i="29"/>
  <c r="E8" i="29"/>
  <c r="D8" i="29"/>
  <c r="C8" i="29"/>
  <c r="I8" i="29" s="1"/>
  <c r="B8" i="29"/>
  <c r="A8" i="29"/>
  <c r="R8" i="29" s="1"/>
  <c r="R20" i="29"/>
  <c r="R9" i="29"/>
  <c r="H22" i="27"/>
  <c r="G22" i="27"/>
  <c r="F22" i="27"/>
  <c r="I22" i="27" s="1"/>
  <c r="X35" i="27"/>
  <c r="W35" i="27"/>
  <c r="P35" i="27"/>
  <c r="O35" i="27"/>
  <c r="N35" i="27"/>
  <c r="M35" i="27"/>
  <c r="H35" i="27"/>
  <c r="G35" i="27"/>
  <c r="F35" i="27"/>
  <c r="E35" i="27"/>
  <c r="D35" i="27"/>
  <c r="C35" i="27"/>
  <c r="B35" i="27"/>
  <c r="A35" i="27"/>
  <c r="R35" i="27" s="1"/>
  <c r="X34" i="27"/>
  <c r="W34" i="27"/>
  <c r="P34" i="27"/>
  <c r="O34" i="27"/>
  <c r="N34" i="27"/>
  <c r="M34" i="27"/>
  <c r="H34" i="27"/>
  <c r="G34" i="27"/>
  <c r="F34" i="27"/>
  <c r="E34" i="27"/>
  <c r="D34" i="27"/>
  <c r="C34" i="27"/>
  <c r="B34" i="27"/>
  <c r="A34" i="27"/>
  <c r="R34" i="27" s="1"/>
  <c r="X33" i="27"/>
  <c r="W33" i="27"/>
  <c r="P33" i="27"/>
  <c r="O33" i="27"/>
  <c r="N33" i="27"/>
  <c r="M33" i="27"/>
  <c r="H33" i="27"/>
  <c r="G33" i="27"/>
  <c r="F33" i="27"/>
  <c r="E33" i="27"/>
  <c r="D33" i="27"/>
  <c r="C33" i="27"/>
  <c r="B33" i="27"/>
  <c r="A33" i="27"/>
  <c r="R33" i="27" s="1"/>
  <c r="X23" i="27"/>
  <c r="W23" i="27"/>
  <c r="P23" i="27"/>
  <c r="O23" i="27"/>
  <c r="N23" i="27"/>
  <c r="M23" i="27"/>
  <c r="H23" i="27"/>
  <c r="G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G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G20" i="27"/>
  <c r="F20" i="27"/>
  <c r="E20" i="27"/>
  <c r="D20" i="27"/>
  <c r="C20" i="27"/>
  <c r="B20" i="27"/>
  <c r="A20" i="27"/>
  <c r="R20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R11" i="27" s="1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A25" i="25"/>
  <c r="B25" i="25"/>
  <c r="C25" i="25"/>
  <c r="I25" i="25" s="1"/>
  <c r="D25" i="25"/>
  <c r="E25" i="25"/>
  <c r="F25" i="25"/>
  <c r="G25" i="25"/>
  <c r="H25" i="25"/>
  <c r="M25" i="25"/>
  <c r="N25" i="25"/>
  <c r="O25" i="25"/>
  <c r="P25" i="25"/>
  <c r="R25" i="25"/>
  <c r="W25" i="25"/>
  <c r="X25" i="25"/>
  <c r="A9" i="25"/>
  <c r="X39" i="25"/>
  <c r="X38" i="25"/>
  <c r="X37" i="25"/>
  <c r="X36" i="25"/>
  <c r="X35" i="25"/>
  <c r="X24" i="25"/>
  <c r="X23" i="25"/>
  <c r="X22" i="25"/>
  <c r="X13" i="25"/>
  <c r="X12" i="25"/>
  <c r="X11" i="25"/>
  <c r="X10" i="25"/>
  <c r="X9" i="25"/>
  <c r="X8" i="25"/>
  <c r="W39" i="25"/>
  <c r="W38" i="25"/>
  <c r="W37" i="25"/>
  <c r="W36" i="25"/>
  <c r="W35" i="25"/>
  <c r="W24" i="25"/>
  <c r="W23" i="25"/>
  <c r="W22" i="25"/>
  <c r="W13" i="25"/>
  <c r="W12" i="25"/>
  <c r="W11" i="25"/>
  <c r="W10" i="25"/>
  <c r="W9" i="25"/>
  <c r="W8" i="25"/>
  <c r="P39" i="25"/>
  <c r="P38" i="25"/>
  <c r="P37" i="25"/>
  <c r="P36" i="25"/>
  <c r="P35" i="25"/>
  <c r="P24" i="25"/>
  <c r="P23" i="25"/>
  <c r="P22" i="25"/>
  <c r="P13" i="25"/>
  <c r="P12" i="25"/>
  <c r="P11" i="25"/>
  <c r="P10" i="25"/>
  <c r="P9" i="25"/>
  <c r="P8" i="25"/>
  <c r="O39" i="25"/>
  <c r="O38" i="25"/>
  <c r="O37" i="25"/>
  <c r="O36" i="25"/>
  <c r="O35" i="25"/>
  <c r="O24" i="25"/>
  <c r="O23" i="25"/>
  <c r="O22" i="25"/>
  <c r="O13" i="25"/>
  <c r="O12" i="25"/>
  <c r="O11" i="25"/>
  <c r="O10" i="25"/>
  <c r="O9" i="25"/>
  <c r="O8" i="25"/>
  <c r="N39" i="25"/>
  <c r="N38" i="25"/>
  <c r="N37" i="25"/>
  <c r="N36" i="25"/>
  <c r="N35" i="25"/>
  <c r="N24" i="25"/>
  <c r="N23" i="25"/>
  <c r="N22" i="25"/>
  <c r="N13" i="25"/>
  <c r="N12" i="25"/>
  <c r="N11" i="25"/>
  <c r="N10" i="25"/>
  <c r="N9" i="25"/>
  <c r="N8" i="25"/>
  <c r="M39" i="25"/>
  <c r="M38" i="25"/>
  <c r="M37" i="25"/>
  <c r="M36" i="25"/>
  <c r="M35" i="25"/>
  <c r="M24" i="25"/>
  <c r="M23" i="25"/>
  <c r="M22" i="25"/>
  <c r="M13" i="25"/>
  <c r="M12" i="25"/>
  <c r="M11" i="25"/>
  <c r="M10" i="25"/>
  <c r="M9" i="25"/>
  <c r="M8" i="25"/>
  <c r="H39" i="25"/>
  <c r="H38" i="25"/>
  <c r="H37" i="25"/>
  <c r="H36" i="25"/>
  <c r="H35" i="25"/>
  <c r="H24" i="25"/>
  <c r="H23" i="25"/>
  <c r="H22" i="25"/>
  <c r="H13" i="25"/>
  <c r="H12" i="25"/>
  <c r="H11" i="25"/>
  <c r="H10" i="25"/>
  <c r="H9" i="25"/>
  <c r="H8" i="25"/>
  <c r="G39" i="25"/>
  <c r="G38" i="25"/>
  <c r="G37" i="25"/>
  <c r="G36" i="25"/>
  <c r="G35" i="25"/>
  <c r="G24" i="25"/>
  <c r="G23" i="25"/>
  <c r="G22" i="25"/>
  <c r="F39" i="25"/>
  <c r="F38" i="25"/>
  <c r="F37" i="25"/>
  <c r="F36" i="25"/>
  <c r="F35" i="25"/>
  <c r="F24" i="25"/>
  <c r="F23" i="25"/>
  <c r="F22" i="25"/>
  <c r="F13" i="25"/>
  <c r="F12" i="25"/>
  <c r="F11" i="25"/>
  <c r="F10" i="25"/>
  <c r="F9" i="25"/>
  <c r="F8" i="25"/>
  <c r="E39" i="25"/>
  <c r="E38" i="25"/>
  <c r="E37" i="25"/>
  <c r="E36" i="25"/>
  <c r="E35" i="25"/>
  <c r="E24" i="25"/>
  <c r="E23" i="25"/>
  <c r="E22" i="25"/>
  <c r="E13" i="25"/>
  <c r="E12" i="25"/>
  <c r="E11" i="25"/>
  <c r="E10" i="25"/>
  <c r="E9" i="25"/>
  <c r="E8" i="25"/>
  <c r="D39" i="25"/>
  <c r="D38" i="25"/>
  <c r="D37" i="25"/>
  <c r="D36" i="25"/>
  <c r="D35" i="25"/>
  <c r="D24" i="25"/>
  <c r="D23" i="25"/>
  <c r="D22" i="25"/>
  <c r="D13" i="25"/>
  <c r="D12" i="25"/>
  <c r="D11" i="25"/>
  <c r="D10" i="25"/>
  <c r="D9" i="25"/>
  <c r="D8" i="25"/>
  <c r="C39" i="25"/>
  <c r="C38" i="25"/>
  <c r="C37" i="25"/>
  <c r="C36" i="25"/>
  <c r="C35" i="25"/>
  <c r="C24" i="25"/>
  <c r="C23" i="25"/>
  <c r="C22" i="25"/>
  <c r="I22" i="25" s="1"/>
  <c r="C13" i="25"/>
  <c r="C12" i="25"/>
  <c r="C11" i="25"/>
  <c r="C10" i="25"/>
  <c r="C9" i="25"/>
  <c r="C8" i="25"/>
  <c r="B39" i="25"/>
  <c r="B38" i="25"/>
  <c r="B37" i="25"/>
  <c r="B36" i="25"/>
  <c r="B35" i="25"/>
  <c r="B24" i="25"/>
  <c r="B23" i="25"/>
  <c r="B22" i="25"/>
  <c r="B13" i="25"/>
  <c r="B12" i="25"/>
  <c r="B11" i="25"/>
  <c r="B10" i="25"/>
  <c r="B9" i="25"/>
  <c r="B8" i="25"/>
  <c r="A39" i="25"/>
  <c r="R39" i="25" s="1"/>
  <c r="A38" i="25"/>
  <c r="A37" i="25"/>
  <c r="A36" i="25"/>
  <c r="R36" i="25" s="1"/>
  <c r="A35" i="25"/>
  <c r="R35" i="25" s="1"/>
  <c r="A24" i="25"/>
  <c r="R24" i="25" s="1"/>
  <c r="A23" i="25"/>
  <c r="R23" i="25" s="1"/>
  <c r="A22" i="25"/>
  <c r="A13" i="25"/>
  <c r="A12" i="25"/>
  <c r="A11" i="25"/>
  <c r="R11" i="25" s="1"/>
  <c r="A10" i="25"/>
  <c r="R10" i="25" s="1"/>
  <c r="A8" i="25"/>
  <c r="R8" i="25" s="1"/>
  <c r="R38" i="25"/>
  <c r="R37" i="25"/>
  <c r="R22" i="25"/>
  <c r="R13" i="25"/>
  <c r="R12" i="25"/>
  <c r="R9" i="25"/>
  <c r="W35" i="23"/>
  <c r="X35" i="23"/>
  <c r="W36" i="23"/>
  <c r="X36" i="23"/>
  <c r="W37" i="23"/>
  <c r="X37" i="23"/>
  <c r="W38" i="23"/>
  <c r="X38" i="23"/>
  <c r="X34" i="23"/>
  <c r="W34" i="23"/>
  <c r="W23" i="23"/>
  <c r="X23" i="23"/>
  <c r="W24" i="23"/>
  <c r="X24" i="23"/>
  <c r="X22" i="23"/>
  <c r="W22" i="23"/>
  <c r="W9" i="23"/>
  <c r="X9" i="23"/>
  <c r="W10" i="23"/>
  <c r="X10" i="23"/>
  <c r="W11" i="23"/>
  <c r="X11" i="23"/>
  <c r="W12" i="23"/>
  <c r="X12" i="23"/>
  <c r="W13" i="23"/>
  <c r="X13" i="23"/>
  <c r="X8" i="23"/>
  <c r="W8" i="23"/>
  <c r="Q21" i="29" l="1"/>
  <c r="Q34" i="29"/>
  <c r="I10" i="29"/>
  <c r="I9" i="29"/>
  <c r="K9" i="29" s="1"/>
  <c r="L9" i="29" s="1"/>
  <c r="I21" i="29"/>
  <c r="K21" i="29" s="1"/>
  <c r="L21" i="29" s="1"/>
  <c r="I34" i="29"/>
  <c r="K34" i="29" s="1"/>
  <c r="L34" i="29" s="1"/>
  <c r="I22" i="29"/>
  <c r="K22" i="29" s="1"/>
  <c r="L22" i="29" s="1"/>
  <c r="Q8" i="29"/>
  <c r="Q20" i="29"/>
  <c r="I33" i="29"/>
  <c r="K33" i="29" s="1"/>
  <c r="L33" i="29" s="1"/>
  <c r="Q33" i="29"/>
  <c r="S33" i="29" s="1"/>
  <c r="T33" i="29" s="1"/>
  <c r="V33" i="29" s="1"/>
  <c r="Q9" i="29"/>
  <c r="I20" i="29"/>
  <c r="K20" i="29" s="1"/>
  <c r="L20" i="29" s="1"/>
  <c r="I35" i="29"/>
  <c r="K35" i="29" s="1"/>
  <c r="L35" i="29" s="1"/>
  <c r="I23" i="29"/>
  <c r="K23" i="29" s="1"/>
  <c r="L23" i="29" s="1"/>
  <c r="I11" i="29"/>
  <c r="K11" i="29" s="1"/>
  <c r="L11" i="29" s="1"/>
  <c r="K8" i="29"/>
  <c r="L8" i="29" s="1"/>
  <c r="J8" i="29"/>
  <c r="K10" i="29"/>
  <c r="L10" i="29" s="1"/>
  <c r="J10" i="29"/>
  <c r="J11" i="29"/>
  <c r="J33" i="29"/>
  <c r="S11" i="29"/>
  <c r="U11" i="29" s="1"/>
  <c r="S20" i="29"/>
  <c r="U20" i="29" s="1"/>
  <c r="K22" i="27"/>
  <c r="L22" i="27" s="1"/>
  <c r="J22" i="27"/>
  <c r="Q35" i="27"/>
  <c r="Q20" i="27"/>
  <c r="I21" i="27"/>
  <c r="K21" i="27" s="1"/>
  <c r="L21" i="27" s="1"/>
  <c r="Q33" i="27"/>
  <c r="I34" i="27"/>
  <c r="K34" i="27" s="1"/>
  <c r="L34" i="27" s="1"/>
  <c r="Q23" i="27"/>
  <c r="Q8" i="27"/>
  <c r="Q10" i="27"/>
  <c r="I11" i="27"/>
  <c r="K11" i="27" s="1"/>
  <c r="L11" i="27" s="1"/>
  <c r="I9" i="27"/>
  <c r="I20" i="27"/>
  <c r="J20" i="27" s="1"/>
  <c r="Q34" i="27"/>
  <c r="Q9" i="27"/>
  <c r="Q11" i="27"/>
  <c r="Q21" i="27"/>
  <c r="Q22" i="27"/>
  <c r="I35" i="27"/>
  <c r="K35" i="27" s="1"/>
  <c r="L35" i="27" s="1"/>
  <c r="I23" i="27"/>
  <c r="K23" i="27" s="1"/>
  <c r="L23" i="27" s="1"/>
  <c r="I10" i="27"/>
  <c r="K10" i="27" s="1"/>
  <c r="L10" i="27" s="1"/>
  <c r="I8" i="27"/>
  <c r="J8" i="27" s="1"/>
  <c r="I33" i="27"/>
  <c r="K33" i="27" s="1"/>
  <c r="L33" i="27" s="1"/>
  <c r="S35" i="27"/>
  <c r="U35" i="27" s="1"/>
  <c r="K9" i="27"/>
  <c r="L9" i="27" s="1"/>
  <c r="J9" i="27"/>
  <c r="Q25" i="25"/>
  <c r="K25" i="25"/>
  <c r="L25" i="25" s="1"/>
  <c r="J25" i="25"/>
  <c r="S25" i="25"/>
  <c r="U25" i="25" s="1"/>
  <c r="T25" i="25"/>
  <c r="V25" i="25" s="1"/>
  <c r="I13" i="25"/>
  <c r="I39" i="25"/>
  <c r="J39" i="25" s="1"/>
  <c r="I9" i="25"/>
  <c r="I35" i="25"/>
  <c r="I11" i="25"/>
  <c r="J11" i="25" s="1"/>
  <c r="Q23" i="25"/>
  <c r="Q35" i="25"/>
  <c r="Q11" i="25"/>
  <c r="Q39" i="25"/>
  <c r="I24" i="25"/>
  <c r="K24" i="25" s="1"/>
  <c r="L24" i="25" s="1"/>
  <c r="Q24" i="25"/>
  <c r="Q12" i="25"/>
  <c r="Q37" i="25"/>
  <c r="I10" i="25"/>
  <c r="J10" i="25" s="1"/>
  <c r="I12" i="25"/>
  <c r="K12" i="25" s="1"/>
  <c r="L12" i="25" s="1"/>
  <c r="Q8" i="25"/>
  <c r="Q10" i="25"/>
  <c r="Q38" i="25"/>
  <c r="Q22" i="25"/>
  <c r="I8" i="25"/>
  <c r="K8" i="25" s="1"/>
  <c r="I36" i="25"/>
  <c r="K36" i="25" s="1"/>
  <c r="L36" i="25" s="1"/>
  <c r="Q36" i="25"/>
  <c r="I37" i="25"/>
  <c r="K37" i="25" s="1"/>
  <c r="L37" i="25" s="1"/>
  <c r="Q13" i="25"/>
  <c r="I38" i="25"/>
  <c r="J38" i="25" s="1"/>
  <c r="I23" i="25"/>
  <c r="J23" i="25" s="1"/>
  <c r="Q9" i="25"/>
  <c r="J8" i="25"/>
  <c r="K9" i="25"/>
  <c r="L9" i="25" s="1"/>
  <c r="J9" i="25"/>
  <c r="J13" i="25"/>
  <c r="K13" i="25"/>
  <c r="L13" i="25" s="1"/>
  <c r="J36" i="25"/>
  <c r="J22" i="25"/>
  <c r="K22" i="25"/>
  <c r="L22" i="25" s="1"/>
  <c r="K35" i="25"/>
  <c r="L35" i="25" s="1"/>
  <c r="J35" i="25"/>
  <c r="A36" i="23"/>
  <c r="B36" i="23"/>
  <c r="C36" i="23"/>
  <c r="I36" i="23" s="1"/>
  <c r="D36" i="23"/>
  <c r="E36" i="23"/>
  <c r="F36" i="23"/>
  <c r="G36" i="23"/>
  <c r="H36" i="23"/>
  <c r="M36" i="23"/>
  <c r="Q36" i="23" s="1"/>
  <c r="N36" i="23"/>
  <c r="O36" i="23"/>
  <c r="P36" i="23"/>
  <c r="R36" i="23"/>
  <c r="A37" i="23"/>
  <c r="B37" i="23"/>
  <c r="C37" i="23"/>
  <c r="I37" i="23" s="1"/>
  <c r="D37" i="23"/>
  <c r="E37" i="23"/>
  <c r="F37" i="23"/>
  <c r="G37" i="23"/>
  <c r="H37" i="23"/>
  <c r="M37" i="23"/>
  <c r="Q37" i="23" s="1"/>
  <c r="N37" i="23"/>
  <c r="O37" i="23"/>
  <c r="P37" i="23"/>
  <c r="R37" i="23"/>
  <c r="A38" i="23"/>
  <c r="B38" i="23"/>
  <c r="C38" i="23"/>
  <c r="I38" i="23" s="1"/>
  <c r="D38" i="23"/>
  <c r="E38" i="23"/>
  <c r="F38" i="23"/>
  <c r="G38" i="23"/>
  <c r="H38" i="23"/>
  <c r="M38" i="23"/>
  <c r="Q38" i="23" s="1"/>
  <c r="N38" i="23"/>
  <c r="O38" i="23"/>
  <c r="P38" i="23"/>
  <c r="R38" i="23"/>
  <c r="A11" i="23"/>
  <c r="B11" i="23"/>
  <c r="C11" i="23"/>
  <c r="D11" i="23"/>
  <c r="I11" i="23" s="1"/>
  <c r="E11" i="23"/>
  <c r="F11" i="23"/>
  <c r="H11" i="23"/>
  <c r="M11" i="23"/>
  <c r="Q11" i="23" s="1"/>
  <c r="N11" i="23"/>
  <c r="O11" i="23"/>
  <c r="P11" i="23"/>
  <c r="R11" i="23"/>
  <c r="A12" i="23"/>
  <c r="B12" i="23"/>
  <c r="C12" i="23"/>
  <c r="D12" i="23"/>
  <c r="E12" i="23"/>
  <c r="F12" i="23"/>
  <c r="H12" i="23"/>
  <c r="I12" i="23"/>
  <c r="K12" i="23" s="1"/>
  <c r="L12" i="23" s="1"/>
  <c r="M12" i="23"/>
  <c r="N12" i="23"/>
  <c r="O12" i="23"/>
  <c r="P12" i="23"/>
  <c r="Q12" i="23"/>
  <c r="R12" i="23"/>
  <c r="A13" i="23"/>
  <c r="B13" i="23"/>
  <c r="C13" i="23"/>
  <c r="D13" i="23"/>
  <c r="E13" i="23"/>
  <c r="F13" i="23"/>
  <c r="H13" i="23"/>
  <c r="I13" i="23"/>
  <c r="K13" i="23" s="1"/>
  <c r="L13" i="23" s="1"/>
  <c r="M13" i="23"/>
  <c r="N13" i="23"/>
  <c r="O13" i="23"/>
  <c r="P13" i="23"/>
  <c r="Q13" i="23"/>
  <c r="R13" i="23"/>
  <c r="P35" i="23"/>
  <c r="O35" i="23"/>
  <c r="N35" i="23"/>
  <c r="M35" i="23"/>
  <c r="H35" i="23"/>
  <c r="G35" i="23"/>
  <c r="F35" i="23"/>
  <c r="E35" i="23"/>
  <c r="D35" i="23"/>
  <c r="C35" i="23"/>
  <c r="B35" i="23"/>
  <c r="A35" i="23"/>
  <c r="R35" i="23" s="1"/>
  <c r="P34" i="23"/>
  <c r="O34" i="23"/>
  <c r="N34" i="23"/>
  <c r="M34" i="23"/>
  <c r="Q34" i="23" s="1"/>
  <c r="H34" i="23"/>
  <c r="G34" i="23"/>
  <c r="F34" i="23"/>
  <c r="E34" i="23"/>
  <c r="D34" i="23"/>
  <c r="C34" i="23"/>
  <c r="B34" i="23"/>
  <c r="A34" i="23"/>
  <c r="R34" i="23" s="1"/>
  <c r="P24" i="23"/>
  <c r="O24" i="23"/>
  <c r="N24" i="23"/>
  <c r="M24" i="23"/>
  <c r="H24" i="23"/>
  <c r="G24" i="23"/>
  <c r="F24" i="23"/>
  <c r="E24" i="23"/>
  <c r="D24" i="23"/>
  <c r="C24" i="23"/>
  <c r="B24" i="23"/>
  <c r="A24" i="23"/>
  <c r="P23" i="23"/>
  <c r="O23" i="23"/>
  <c r="N23" i="23"/>
  <c r="M23" i="23"/>
  <c r="H23" i="23"/>
  <c r="G23" i="23"/>
  <c r="F23" i="23"/>
  <c r="E23" i="23"/>
  <c r="D23" i="23"/>
  <c r="C23" i="23"/>
  <c r="I23" i="23" s="1"/>
  <c r="K23" i="23" s="1"/>
  <c r="L23" i="23" s="1"/>
  <c r="B23" i="23"/>
  <c r="A23" i="23"/>
  <c r="R23" i="23" s="1"/>
  <c r="P22" i="23"/>
  <c r="O22" i="23"/>
  <c r="N22" i="23"/>
  <c r="M22" i="23"/>
  <c r="Q22" i="23" s="1"/>
  <c r="H22" i="23"/>
  <c r="G22" i="23"/>
  <c r="F22" i="23"/>
  <c r="E22" i="23"/>
  <c r="D22" i="23"/>
  <c r="C22" i="23"/>
  <c r="B22" i="23"/>
  <c r="A22" i="23"/>
  <c r="R22" i="23" s="1"/>
  <c r="P10" i="23"/>
  <c r="O10" i="23"/>
  <c r="N10" i="23"/>
  <c r="M10" i="23"/>
  <c r="Q10" i="23" s="1"/>
  <c r="H10" i="23"/>
  <c r="F10" i="23"/>
  <c r="E10" i="23"/>
  <c r="D10" i="23"/>
  <c r="C10" i="23"/>
  <c r="B10" i="23"/>
  <c r="A10" i="23"/>
  <c r="P9" i="23"/>
  <c r="O9" i="23"/>
  <c r="N9" i="23"/>
  <c r="M9" i="23"/>
  <c r="H9" i="23"/>
  <c r="F9" i="23"/>
  <c r="E9" i="23"/>
  <c r="D9" i="23"/>
  <c r="C9" i="23"/>
  <c r="I9" i="23" s="1"/>
  <c r="B9" i="23"/>
  <c r="A9" i="23"/>
  <c r="R9" i="23" s="1"/>
  <c r="P8" i="23"/>
  <c r="O8" i="23"/>
  <c r="N8" i="23"/>
  <c r="M8" i="23"/>
  <c r="Q8" i="23" s="1"/>
  <c r="H8" i="23"/>
  <c r="F8" i="23"/>
  <c r="E8" i="23"/>
  <c r="D8" i="23"/>
  <c r="C8" i="23"/>
  <c r="B8" i="23"/>
  <c r="A8" i="23"/>
  <c r="R8" i="23" s="1"/>
  <c r="Q35" i="23"/>
  <c r="R24" i="23"/>
  <c r="R10" i="23"/>
  <c r="X32" i="20"/>
  <c r="W32" i="20"/>
  <c r="P32" i="20"/>
  <c r="O32" i="20"/>
  <c r="Q32" i="20" s="1"/>
  <c r="N32" i="20"/>
  <c r="M32" i="20"/>
  <c r="H32" i="20"/>
  <c r="G32" i="20"/>
  <c r="F32" i="20"/>
  <c r="E32" i="20"/>
  <c r="D32" i="20"/>
  <c r="C32" i="20"/>
  <c r="I32" i="20" s="1"/>
  <c r="B32" i="20"/>
  <c r="A32" i="20"/>
  <c r="X31" i="20"/>
  <c r="W31" i="20"/>
  <c r="P31" i="20"/>
  <c r="O31" i="20"/>
  <c r="N31" i="20"/>
  <c r="M31" i="20"/>
  <c r="Q31" i="20" s="1"/>
  <c r="H31" i="20"/>
  <c r="G31" i="20"/>
  <c r="F31" i="20"/>
  <c r="E31" i="20"/>
  <c r="I31" i="20" s="1"/>
  <c r="D31" i="20"/>
  <c r="C31" i="20"/>
  <c r="B31" i="20"/>
  <c r="A31" i="20"/>
  <c r="R31" i="20" s="1"/>
  <c r="X21" i="20"/>
  <c r="W21" i="20"/>
  <c r="P21" i="20"/>
  <c r="O21" i="20"/>
  <c r="N21" i="20"/>
  <c r="M21" i="20"/>
  <c r="H21" i="20"/>
  <c r="G21" i="20"/>
  <c r="F21" i="20"/>
  <c r="E21" i="20"/>
  <c r="D21" i="20"/>
  <c r="C21" i="20"/>
  <c r="I21" i="20" s="1"/>
  <c r="B21" i="20"/>
  <c r="A21" i="20"/>
  <c r="X20" i="20"/>
  <c r="W20" i="20"/>
  <c r="P20" i="20"/>
  <c r="O20" i="20"/>
  <c r="N20" i="20"/>
  <c r="M20" i="20"/>
  <c r="Q20" i="20" s="1"/>
  <c r="H20" i="20"/>
  <c r="G20" i="20"/>
  <c r="F20" i="20"/>
  <c r="E20" i="20"/>
  <c r="D20" i="20"/>
  <c r="C20" i="20"/>
  <c r="B20" i="20"/>
  <c r="A20" i="20"/>
  <c r="R20" i="20" s="1"/>
  <c r="X19" i="20"/>
  <c r="W19" i="20"/>
  <c r="P19" i="20"/>
  <c r="O19" i="20"/>
  <c r="Q19" i="20" s="1"/>
  <c r="N19" i="20"/>
  <c r="M19" i="20"/>
  <c r="H19" i="20"/>
  <c r="G19" i="20"/>
  <c r="F19" i="20"/>
  <c r="E19" i="20"/>
  <c r="D19" i="20"/>
  <c r="C19" i="20"/>
  <c r="I19" i="20" s="1"/>
  <c r="B19" i="20"/>
  <c r="A19" i="20"/>
  <c r="X10" i="20"/>
  <c r="W10" i="20"/>
  <c r="P10" i="20"/>
  <c r="O10" i="20"/>
  <c r="N10" i="20"/>
  <c r="M10" i="20"/>
  <c r="Q10" i="20" s="1"/>
  <c r="H10" i="20"/>
  <c r="F10" i="20"/>
  <c r="E10" i="20"/>
  <c r="D10" i="20"/>
  <c r="I10" i="20" s="1"/>
  <c r="C10" i="20"/>
  <c r="B10" i="20"/>
  <c r="A10" i="20"/>
  <c r="X9" i="20"/>
  <c r="W9" i="20"/>
  <c r="P9" i="20"/>
  <c r="O9" i="20"/>
  <c r="N9" i="20"/>
  <c r="M9" i="20"/>
  <c r="H9" i="20"/>
  <c r="F9" i="20"/>
  <c r="E9" i="20"/>
  <c r="I9" i="20" s="1"/>
  <c r="D9" i="20"/>
  <c r="C9" i="20"/>
  <c r="B9" i="20"/>
  <c r="A9" i="20"/>
  <c r="R9" i="20" s="1"/>
  <c r="X8" i="20"/>
  <c r="W8" i="20"/>
  <c r="P8" i="20"/>
  <c r="O8" i="20"/>
  <c r="Q8" i="20" s="1"/>
  <c r="N8" i="20"/>
  <c r="M8" i="20"/>
  <c r="H8" i="20"/>
  <c r="F8" i="20"/>
  <c r="E8" i="20"/>
  <c r="D8" i="20"/>
  <c r="C8" i="20"/>
  <c r="B8" i="20"/>
  <c r="A8" i="20"/>
  <c r="R32" i="20"/>
  <c r="Q21" i="20"/>
  <c r="R21" i="20"/>
  <c r="I20" i="20"/>
  <c r="R19" i="20"/>
  <c r="R10" i="20"/>
  <c r="Q9" i="20"/>
  <c r="I8" i="20"/>
  <c r="R8" i="20"/>
  <c r="A21" i="19"/>
  <c r="B21" i="19"/>
  <c r="C21" i="19"/>
  <c r="I21" i="19" s="1"/>
  <c r="D21" i="19"/>
  <c r="E21" i="19"/>
  <c r="F21" i="19"/>
  <c r="G21" i="19"/>
  <c r="H21" i="19"/>
  <c r="M21" i="19"/>
  <c r="N21" i="19"/>
  <c r="O21" i="19"/>
  <c r="Q21" i="19" s="1"/>
  <c r="P21" i="19"/>
  <c r="R21" i="19"/>
  <c r="W21" i="19"/>
  <c r="X21" i="19"/>
  <c r="A10" i="19"/>
  <c r="B10" i="19"/>
  <c r="C10" i="19"/>
  <c r="D10" i="19"/>
  <c r="E10" i="19"/>
  <c r="F10" i="19"/>
  <c r="H10" i="19"/>
  <c r="I10" i="19"/>
  <c r="J10" i="19" s="1"/>
  <c r="M10" i="19"/>
  <c r="N10" i="19"/>
  <c r="O10" i="19"/>
  <c r="P10" i="19"/>
  <c r="Q10" i="19"/>
  <c r="R10" i="19"/>
  <c r="W10" i="19"/>
  <c r="X10" i="19"/>
  <c r="J20" i="29" l="1"/>
  <c r="J22" i="29"/>
  <c r="S22" i="29" s="1"/>
  <c r="J9" i="29"/>
  <c r="J34" i="29"/>
  <c r="S34" i="29" s="1"/>
  <c r="J21" i="29"/>
  <c r="S21" i="29" s="1"/>
  <c r="T21" i="29" s="1"/>
  <c r="V21" i="29" s="1"/>
  <c r="S35" i="29"/>
  <c r="U35" i="29" s="1"/>
  <c r="J35" i="29"/>
  <c r="S23" i="29"/>
  <c r="J23" i="29"/>
  <c r="S10" i="29"/>
  <c r="U10" i="29" s="1"/>
  <c r="T35" i="29"/>
  <c r="V35" i="29" s="1"/>
  <c r="S9" i="29"/>
  <c r="U9" i="29" s="1"/>
  <c r="S8" i="29"/>
  <c r="U8" i="29" s="1"/>
  <c r="T11" i="29"/>
  <c r="V11" i="29" s="1"/>
  <c r="U33" i="29"/>
  <c r="T20" i="29"/>
  <c r="V20" i="29" s="1"/>
  <c r="T10" i="29"/>
  <c r="V10" i="29" s="1"/>
  <c r="J34" i="27"/>
  <c r="J21" i="27"/>
  <c r="S21" i="27" s="1"/>
  <c r="J11" i="27"/>
  <c r="S34" i="27"/>
  <c r="U34" i="27" s="1"/>
  <c r="S11" i="27"/>
  <c r="U11" i="27" s="1"/>
  <c r="K20" i="27"/>
  <c r="L20" i="27" s="1"/>
  <c r="J23" i="27"/>
  <c r="J33" i="27"/>
  <c r="K8" i="27"/>
  <c r="L8" i="27" s="1"/>
  <c r="S22" i="27"/>
  <c r="T22" i="27" s="1"/>
  <c r="V22" i="27" s="1"/>
  <c r="J10" i="27"/>
  <c r="S10" i="27" s="1"/>
  <c r="U10" i="27" s="1"/>
  <c r="J35" i="27"/>
  <c r="S23" i="27"/>
  <c r="T23" i="27" s="1"/>
  <c r="V23" i="27" s="1"/>
  <c r="S33" i="27"/>
  <c r="T33" i="27" s="1"/>
  <c r="V33" i="27" s="1"/>
  <c r="S9" i="27"/>
  <c r="U9" i="27" s="1"/>
  <c r="T35" i="27"/>
  <c r="V35" i="27" s="1"/>
  <c r="K39" i="25"/>
  <c r="L39" i="25" s="1"/>
  <c r="K38" i="25"/>
  <c r="L38" i="25" s="1"/>
  <c r="J24" i="25"/>
  <c r="S37" i="25"/>
  <c r="U37" i="25" s="1"/>
  <c r="K11" i="25"/>
  <c r="L11" i="25" s="1"/>
  <c r="K23" i="25"/>
  <c r="L23" i="25" s="1"/>
  <c r="L8" i="25"/>
  <c r="S8" i="25"/>
  <c r="U8" i="25" s="1"/>
  <c r="J12" i="25"/>
  <c r="J37" i="25"/>
  <c r="S12" i="25"/>
  <c r="U12" i="25" s="1"/>
  <c r="K10" i="25"/>
  <c r="L10" i="25" s="1"/>
  <c r="S39" i="25"/>
  <c r="S23" i="25"/>
  <c r="T23" i="25" s="1"/>
  <c r="V23" i="25" s="1"/>
  <c r="S35" i="25"/>
  <c r="S36" i="25"/>
  <c r="T36" i="25" s="1"/>
  <c r="V36" i="25" s="1"/>
  <c r="S24" i="25"/>
  <c r="T24" i="25" s="1"/>
  <c r="V24" i="25" s="1"/>
  <c r="S38" i="25"/>
  <c r="S9" i="25"/>
  <c r="U9" i="25" s="1"/>
  <c r="T37" i="25"/>
  <c r="V37" i="25" s="1"/>
  <c r="S13" i="25"/>
  <c r="S22" i="25"/>
  <c r="K36" i="23"/>
  <c r="L36" i="23" s="1"/>
  <c r="J36" i="23"/>
  <c r="K37" i="23"/>
  <c r="L37" i="23" s="1"/>
  <c r="J37" i="23"/>
  <c r="J38" i="23"/>
  <c r="K38" i="23"/>
  <c r="L38" i="23" s="1"/>
  <c r="S36" i="23"/>
  <c r="U36" i="23" s="1"/>
  <c r="J13" i="23"/>
  <c r="S12" i="23"/>
  <c r="U12" i="23" s="1"/>
  <c r="J11" i="23"/>
  <c r="K11" i="23"/>
  <c r="L11" i="23" s="1"/>
  <c r="S13" i="23"/>
  <c r="U13" i="23" s="1"/>
  <c r="J12" i="23"/>
  <c r="I8" i="23"/>
  <c r="Q9" i="23"/>
  <c r="Q23" i="23"/>
  <c r="I35" i="23"/>
  <c r="K35" i="23" s="1"/>
  <c r="L35" i="23" s="1"/>
  <c r="I24" i="23"/>
  <c r="K24" i="23" s="1"/>
  <c r="L24" i="23" s="1"/>
  <c r="Q24" i="23"/>
  <c r="I34" i="23"/>
  <c r="K34" i="23" s="1"/>
  <c r="L34" i="23" s="1"/>
  <c r="I10" i="23"/>
  <c r="K10" i="23" s="1"/>
  <c r="L10" i="23" s="1"/>
  <c r="I22" i="23"/>
  <c r="K22" i="23" s="1"/>
  <c r="L22" i="23" s="1"/>
  <c r="K8" i="23"/>
  <c r="L8" i="23" s="1"/>
  <c r="J8" i="23"/>
  <c r="K9" i="23"/>
  <c r="L9" i="23" s="1"/>
  <c r="J9" i="23"/>
  <c r="J23" i="23"/>
  <c r="S23" i="23"/>
  <c r="J10" i="20"/>
  <c r="K10" i="20"/>
  <c r="L10" i="20" s="1"/>
  <c r="J32" i="20"/>
  <c r="K32" i="20"/>
  <c r="L32" i="20" s="1"/>
  <c r="J20" i="20"/>
  <c r="K20" i="20"/>
  <c r="L20" i="20" s="1"/>
  <c r="S20" i="20"/>
  <c r="U20" i="20" s="1"/>
  <c r="J31" i="20"/>
  <c r="K31" i="20"/>
  <c r="L31" i="20" s="1"/>
  <c r="J8" i="20"/>
  <c r="K8" i="20"/>
  <c r="L8" i="20" s="1"/>
  <c r="K9" i="20"/>
  <c r="L9" i="20" s="1"/>
  <c r="J9" i="20"/>
  <c r="S9" i="20"/>
  <c r="U9" i="20" s="1"/>
  <c r="T9" i="20"/>
  <c r="V9" i="20" s="1"/>
  <c r="K19" i="20"/>
  <c r="L19" i="20" s="1"/>
  <c r="J19" i="20"/>
  <c r="K21" i="20"/>
  <c r="L21" i="20" s="1"/>
  <c r="J21" i="20"/>
  <c r="S10" i="20"/>
  <c r="U10" i="20" s="1"/>
  <c r="S32" i="20"/>
  <c r="T32" i="20" s="1"/>
  <c r="V32" i="20" s="1"/>
  <c r="S21" i="19"/>
  <c r="U21" i="19" s="1"/>
  <c r="J21" i="19"/>
  <c r="K21" i="19"/>
  <c r="L21" i="19" s="1"/>
  <c r="K10" i="19"/>
  <c r="L10" i="19" s="1"/>
  <c r="X32" i="19"/>
  <c r="W32" i="19"/>
  <c r="P32" i="19"/>
  <c r="O32" i="19"/>
  <c r="N32" i="19"/>
  <c r="M32" i="19"/>
  <c r="H32" i="19"/>
  <c r="G32" i="19"/>
  <c r="F32" i="19"/>
  <c r="E32" i="19"/>
  <c r="D32" i="19"/>
  <c r="C32" i="19"/>
  <c r="I32" i="19" s="1"/>
  <c r="B32" i="19"/>
  <c r="A32" i="19"/>
  <c r="X31" i="19"/>
  <c r="W31" i="19"/>
  <c r="P31" i="19"/>
  <c r="O31" i="19"/>
  <c r="N31" i="19"/>
  <c r="M31" i="19"/>
  <c r="Q31" i="19" s="1"/>
  <c r="H31" i="19"/>
  <c r="G31" i="19"/>
  <c r="F31" i="19"/>
  <c r="E31" i="19"/>
  <c r="I31" i="19" s="1"/>
  <c r="D31" i="19"/>
  <c r="C31" i="19"/>
  <c r="B31" i="19"/>
  <c r="A31" i="19"/>
  <c r="R31" i="19" s="1"/>
  <c r="X20" i="19"/>
  <c r="W20" i="19"/>
  <c r="P20" i="19"/>
  <c r="O20" i="19"/>
  <c r="Q20" i="19" s="1"/>
  <c r="N20" i="19"/>
  <c r="M20" i="19"/>
  <c r="H20" i="19"/>
  <c r="G20" i="19"/>
  <c r="F20" i="19"/>
  <c r="E20" i="19"/>
  <c r="D20" i="19"/>
  <c r="C20" i="19"/>
  <c r="B20" i="19"/>
  <c r="A20" i="19"/>
  <c r="X19" i="19"/>
  <c r="W19" i="19"/>
  <c r="P19" i="19"/>
  <c r="O19" i="19"/>
  <c r="N19" i="19"/>
  <c r="M19" i="19"/>
  <c r="Q19" i="19" s="1"/>
  <c r="H19" i="19"/>
  <c r="G19" i="19"/>
  <c r="F19" i="19"/>
  <c r="E19" i="19"/>
  <c r="I19" i="19" s="1"/>
  <c r="D19" i="19"/>
  <c r="C19" i="19"/>
  <c r="B19" i="19"/>
  <c r="A19" i="19"/>
  <c r="R19" i="19" s="1"/>
  <c r="X9" i="19"/>
  <c r="W9" i="19"/>
  <c r="P9" i="19"/>
  <c r="O9" i="19"/>
  <c r="Q9" i="19" s="1"/>
  <c r="N9" i="19"/>
  <c r="M9" i="19"/>
  <c r="H9" i="19"/>
  <c r="F9" i="19"/>
  <c r="I9" i="19" s="1"/>
  <c r="E9" i="19"/>
  <c r="D9" i="19"/>
  <c r="C9" i="19"/>
  <c r="B9" i="19"/>
  <c r="A9" i="19"/>
  <c r="X8" i="19"/>
  <c r="W8" i="19"/>
  <c r="P8" i="19"/>
  <c r="Q8" i="19" s="1"/>
  <c r="O8" i="19"/>
  <c r="N8" i="19"/>
  <c r="M8" i="19"/>
  <c r="H8" i="19"/>
  <c r="F8" i="19"/>
  <c r="E8" i="19"/>
  <c r="D8" i="19"/>
  <c r="C8" i="19"/>
  <c r="B8" i="19"/>
  <c r="A8" i="19"/>
  <c r="R32" i="19"/>
  <c r="R20" i="19"/>
  <c r="R9" i="19"/>
  <c r="R8" i="19"/>
  <c r="U34" i="29" l="1"/>
  <c r="T34" i="29"/>
  <c r="V34" i="29" s="1"/>
  <c r="U22" i="29"/>
  <c r="T22" i="29"/>
  <c r="V22" i="29" s="1"/>
  <c r="U21" i="29"/>
  <c r="T23" i="29"/>
  <c r="V23" i="29" s="1"/>
  <c r="U23" i="29"/>
  <c r="T8" i="29"/>
  <c r="V8" i="29" s="1"/>
  <c r="T9" i="29"/>
  <c r="V9" i="29" s="1"/>
  <c r="U21" i="27"/>
  <c r="T21" i="27"/>
  <c r="V21" i="27" s="1"/>
  <c r="T34" i="27"/>
  <c r="V34" i="27" s="1"/>
  <c r="S20" i="27"/>
  <c r="T20" i="27" s="1"/>
  <c r="V20" i="27" s="1"/>
  <c r="T11" i="27"/>
  <c r="V11" i="27" s="1"/>
  <c r="T10" i="27"/>
  <c r="V10" i="27" s="1"/>
  <c r="S8" i="27"/>
  <c r="U8" i="27" s="1"/>
  <c r="U22" i="27"/>
  <c r="U23" i="27"/>
  <c r="U33" i="27"/>
  <c r="T9" i="27"/>
  <c r="V9" i="27" s="1"/>
  <c r="U20" i="27"/>
  <c r="U23" i="25"/>
  <c r="S10" i="25"/>
  <c r="U10" i="25" s="1"/>
  <c r="S11" i="25"/>
  <c r="T8" i="25"/>
  <c r="V8" i="25" s="1"/>
  <c r="T12" i="25"/>
  <c r="V12" i="25" s="1"/>
  <c r="T10" i="25"/>
  <c r="V10" i="25" s="1"/>
  <c r="U36" i="25"/>
  <c r="U39" i="25"/>
  <c r="T39" i="25"/>
  <c r="V39" i="25" s="1"/>
  <c r="U38" i="25"/>
  <c r="T38" i="25"/>
  <c r="V38" i="25" s="1"/>
  <c r="T9" i="25"/>
  <c r="V9" i="25" s="1"/>
  <c r="U24" i="25"/>
  <c r="U35" i="25"/>
  <c r="T35" i="25"/>
  <c r="V35" i="25" s="1"/>
  <c r="T22" i="25"/>
  <c r="V22" i="25" s="1"/>
  <c r="U22" i="25"/>
  <c r="U13" i="25"/>
  <c r="T13" i="25"/>
  <c r="V13" i="25" s="1"/>
  <c r="U11" i="25"/>
  <c r="T11" i="25"/>
  <c r="V11" i="25" s="1"/>
  <c r="T36" i="23"/>
  <c r="V36" i="23" s="1"/>
  <c r="S38" i="23"/>
  <c r="S37" i="23"/>
  <c r="T13" i="23"/>
  <c r="V13" i="23" s="1"/>
  <c r="T12" i="23"/>
  <c r="V12" i="23" s="1"/>
  <c r="S11" i="23"/>
  <c r="J24" i="23"/>
  <c r="S35" i="23"/>
  <c r="U35" i="23" s="1"/>
  <c r="S24" i="23"/>
  <c r="U24" i="23" s="1"/>
  <c r="S34" i="23"/>
  <c r="T34" i="23" s="1"/>
  <c r="V34" i="23" s="1"/>
  <c r="S22" i="23"/>
  <c r="T22" i="23" s="1"/>
  <c r="V22" i="23" s="1"/>
  <c r="J34" i="23"/>
  <c r="T23" i="23"/>
  <c r="V23" i="23" s="1"/>
  <c r="J22" i="23"/>
  <c r="J10" i="23"/>
  <c r="J35" i="23"/>
  <c r="T35" i="23" s="1"/>
  <c r="V35" i="23" s="1"/>
  <c r="S10" i="23"/>
  <c r="U10" i="23" s="1"/>
  <c r="S9" i="23"/>
  <c r="U9" i="23" s="1"/>
  <c r="U23" i="23"/>
  <c r="T24" i="23"/>
  <c r="V24" i="23" s="1"/>
  <c r="S8" i="23"/>
  <c r="U32" i="20"/>
  <c r="S21" i="20"/>
  <c r="U21" i="20" s="1"/>
  <c r="T21" i="20"/>
  <c r="V21" i="20" s="1"/>
  <c r="T20" i="20"/>
  <c r="V20" i="20" s="1"/>
  <c r="S8" i="20"/>
  <c r="S19" i="20"/>
  <c r="S31" i="20"/>
  <c r="T10" i="20"/>
  <c r="V10" i="20" s="1"/>
  <c r="T21" i="19"/>
  <c r="V21" i="19" s="1"/>
  <c r="S10" i="19"/>
  <c r="I20" i="19"/>
  <c r="Q32" i="19"/>
  <c r="I8" i="19"/>
  <c r="K8" i="19" s="1"/>
  <c r="K32" i="19"/>
  <c r="L32" i="19" s="1"/>
  <c r="J32" i="19"/>
  <c r="K19" i="19"/>
  <c r="L19" i="19" s="1"/>
  <c r="J19" i="19"/>
  <c r="K31" i="19"/>
  <c r="L31" i="19" s="1"/>
  <c r="J31" i="19"/>
  <c r="K9" i="19"/>
  <c r="L9" i="19" s="1"/>
  <c r="J9" i="19"/>
  <c r="K20" i="19"/>
  <c r="L20" i="19" s="1"/>
  <c r="J20" i="19"/>
  <c r="X30" i="17"/>
  <c r="W30" i="17"/>
  <c r="P30" i="17"/>
  <c r="O30" i="17"/>
  <c r="N30" i="17"/>
  <c r="M30" i="17"/>
  <c r="Q30" i="17"/>
  <c r="H30" i="17"/>
  <c r="G30" i="17"/>
  <c r="F30" i="17"/>
  <c r="C30" i="17"/>
  <c r="D30" i="17"/>
  <c r="E30" i="17"/>
  <c r="I30" i="17"/>
  <c r="B30" i="17"/>
  <c r="A30" i="17"/>
  <c r="X29" i="17"/>
  <c r="W29" i="17"/>
  <c r="P29" i="17"/>
  <c r="M29" i="17"/>
  <c r="N29" i="17"/>
  <c r="O29" i="17"/>
  <c r="Q29" i="17"/>
  <c r="H29" i="17"/>
  <c r="G29" i="17"/>
  <c r="F29" i="17"/>
  <c r="E29" i="17"/>
  <c r="D29" i="17"/>
  <c r="C29" i="17"/>
  <c r="I29" i="17"/>
  <c r="B29" i="17"/>
  <c r="A29" i="17"/>
  <c r="X19" i="17"/>
  <c r="W19" i="17"/>
  <c r="P19" i="17"/>
  <c r="O19" i="17"/>
  <c r="N19" i="17"/>
  <c r="M19" i="17"/>
  <c r="H19" i="17"/>
  <c r="G19" i="17"/>
  <c r="F19" i="17"/>
  <c r="C19" i="17"/>
  <c r="D19" i="17"/>
  <c r="E19" i="17"/>
  <c r="I19" i="17"/>
  <c r="B19" i="17"/>
  <c r="A19" i="17"/>
  <c r="X18" i="17"/>
  <c r="W18" i="17"/>
  <c r="P18" i="17"/>
  <c r="M18" i="17"/>
  <c r="N18" i="17"/>
  <c r="O18" i="17"/>
  <c r="Q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M9" i="17"/>
  <c r="Q9" i="17"/>
  <c r="H9" i="17"/>
  <c r="F9" i="17"/>
  <c r="E9" i="17"/>
  <c r="C9" i="17"/>
  <c r="D9" i="17"/>
  <c r="I9" i="17"/>
  <c r="B9" i="17"/>
  <c r="A9" i="17"/>
  <c r="X8" i="17"/>
  <c r="W8" i="17"/>
  <c r="P8" i="17"/>
  <c r="O8" i="17"/>
  <c r="M8" i="17"/>
  <c r="N8" i="17"/>
  <c r="Q8" i="17"/>
  <c r="H8" i="17"/>
  <c r="F8" i="17"/>
  <c r="C8" i="17"/>
  <c r="D8" i="17"/>
  <c r="E8" i="17"/>
  <c r="I8" i="17"/>
  <c r="B8" i="17"/>
  <c r="A8" i="17"/>
  <c r="R30" i="17"/>
  <c r="R29" i="17"/>
  <c r="Q19" i="17"/>
  <c r="R19" i="17"/>
  <c r="I18" i="17"/>
  <c r="R18" i="17"/>
  <c r="R9" i="17"/>
  <c r="R8" i="17"/>
  <c r="J19" i="17"/>
  <c r="K19" i="17"/>
  <c r="L19" i="17"/>
  <c r="S19" i="17"/>
  <c r="T19" i="17"/>
  <c r="V19" i="17"/>
  <c r="K9" i="17"/>
  <c r="L9" i="17"/>
  <c r="J9" i="17"/>
  <c r="J30" i="17"/>
  <c r="K30" i="17"/>
  <c r="L30" i="17"/>
  <c r="S9" i="17"/>
  <c r="T9" i="17"/>
  <c r="V9" i="17"/>
  <c r="U9" i="17"/>
  <c r="K8" i="17"/>
  <c r="L8" i="17"/>
  <c r="J8" i="17"/>
  <c r="S8" i="17"/>
  <c r="U8" i="17"/>
  <c r="K18" i="17"/>
  <c r="L18" i="17"/>
  <c r="J18" i="17"/>
  <c r="J29" i="17"/>
  <c r="K29" i="17"/>
  <c r="L29" i="17"/>
  <c r="U19" i="17"/>
  <c r="S30" i="17"/>
  <c r="U30" i="17"/>
  <c r="X29" i="13"/>
  <c r="S30" i="15"/>
  <c r="T30" i="15"/>
  <c r="S29" i="15"/>
  <c r="T29" i="15"/>
  <c r="S19" i="15"/>
  <c r="T19" i="15"/>
  <c r="S18" i="15"/>
  <c r="T18" i="15"/>
  <c r="S9" i="15"/>
  <c r="T9" i="15"/>
  <c r="S8" i="15"/>
  <c r="T8" i="15"/>
  <c r="L30" i="15"/>
  <c r="L29" i="15"/>
  <c r="L19" i="15"/>
  <c r="L18" i="15"/>
  <c r="L9" i="15"/>
  <c r="L8" i="15"/>
  <c r="S30" i="13"/>
  <c r="T30" i="13"/>
  <c r="S29" i="13"/>
  <c r="T29" i="13"/>
  <c r="S19" i="13"/>
  <c r="T19" i="13"/>
  <c r="S18" i="13"/>
  <c r="T18" i="13"/>
  <c r="S9" i="13"/>
  <c r="T9" i="13"/>
  <c r="S8" i="13"/>
  <c r="T8" i="13"/>
  <c r="L30" i="13"/>
  <c r="L29" i="13"/>
  <c r="L19" i="13"/>
  <c r="L18" i="13"/>
  <c r="L9" i="13"/>
  <c r="L8" i="13"/>
  <c r="S18" i="17"/>
  <c r="T30" i="17"/>
  <c r="V30" i="17"/>
  <c r="S29" i="17"/>
  <c r="T8" i="17"/>
  <c r="V8" i="17"/>
  <c r="F30" i="13"/>
  <c r="F29" i="13"/>
  <c r="E30" i="13"/>
  <c r="E29" i="13"/>
  <c r="D30" i="13"/>
  <c r="D29" i="13"/>
  <c r="G19" i="13"/>
  <c r="G18" i="13"/>
  <c r="F19" i="13"/>
  <c r="F18" i="13"/>
  <c r="E19" i="13"/>
  <c r="E18" i="13"/>
  <c r="D19" i="13"/>
  <c r="D18" i="13"/>
  <c r="H9" i="13"/>
  <c r="H8" i="13"/>
  <c r="F30" i="15"/>
  <c r="F29" i="15"/>
  <c r="G29" i="15"/>
  <c r="G19" i="15"/>
  <c r="G18" i="15"/>
  <c r="H9" i="15"/>
  <c r="H8" i="15"/>
  <c r="F9" i="13"/>
  <c r="F8" i="13"/>
  <c r="E9" i="13"/>
  <c r="E8" i="13"/>
  <c r="E8" i="15"/>
  <c r="D9" i="13"/>
  <c r="D8" i="13"/>
  <c r="C30" i="13"/>
  <c r="C29" i="13"/>
  <c r="C19" i="13"/>
  <c r="C18" i="13"/>
  <c r="C9" i="13"/>
  <c r="C8" i="13"/>
  <c r="F9" i="15"/>
  <c r="F19" i="15"/>
  <c r="F18" i="15"/>
  <c r="F8" i="15"/>
  <c r="E30" i="15"/>
  <c r="E29" i="15"/>
  <c r="E19" i="15"/>
  <c r="E18" i="15"/>
  <c r="E9" i="15"/>
  <c r="D30" i="15"/>
  <c r="D29" i="15"/>
  <c r="D19" i="15"/>
  <c r="D18" i="15"/>
  <c r="D9" i="15"/>
  <c r="D8" i="15"/>
  <c r="C30" i="15"/>
  <c r="C29" i="15"/>
  <c r="C19" i="15"/>
  <c r="C18" i="15"/>
  <c r="C9" i="15"/>
  <c r="C8" i="15"/>
  <c r="U29" i="17"/>
  <c r="T29" i="17"/>
  <c r="V29" i="17"/>
  <c r="T18" i="17"/>
  <c r="V18" i="17"/>
  <c r="U18" i="17"/>
  <c r="X30" i="15"/>
  <c r="W30" i="15"/>
  <c r="P30" i="15"/>
  <c r="O30" i="15"/>
  <c r="N30" i="15"/>
  <c r="M30" i="15"/>
  <c r="Q30" i="15"/>
  <c r="H30" i="15"/>
  <c r="G30" i="15"/>
  <c r="B30" i="15"/>
  <c r="A30" i="15"/>
  <c r="R30" i="15"/>
  <c r="X29" i="15"/>
  <c r="W29" i="15"/>
  <c r="P29" i="15"/>
  <c r="O29" i="15"/>
  <c r="N29" i="15"/>
  <c r="M29" i="15"/>
  <c r="H29" i="15"/>
  <c r="B29" i="15"/>
  <c r="A29" i="15"/>
  <c r="R29" i="15"/>
  <c r="X19" i="15"/>
  <c r="W19" i="15"/>
  <c r="P19" i="15"/>
  <c r="O19" i="15"/>
  <c r="N19" i="15"/>
  <c r="M19" i="15"/>
  <c r="H19" i="15"/>
  <c r="B19" i="15"/>
  <c r="A19" i="15"/>
  <c r="R19" i="15"/>
  <c r="X18" i="15"/>
  <c r="W18" i="15"/>
  <c r="P18" i="15"/>
  <c r="O18" i="15"/>
  <c r="N18" i="15"/>
  <c r="M18" i="15"/>
  <c r="Q18" i="15"/>
  <c r="H18" i="15"/>
  <c r="B18" i="15"/>
  <c r="A18" i="15"/>
  <c r="R18" i="15"/>
  <c r="X9" i="15"/>
  <c r="W9" i="15"/>
  <c r="P9" i="15"/>
  <c r="O9" i="15"/>
  <c r="N9" i="15"/>
  <c r="M9" i="15"/>
  <c r="B9" i="15"/>
  <c r="A9" i="15"/>
  <c r="R9" i="15"/>
  <c r="X8" i="15"/>
  <c r="W8" i="15"/>
  <c r="P8" i="15"/>
  <c r="O8" i="15"/>
  <c r="N8" i="15"/>
  <c r="M8" i="15"/>
  <c r="I8" i="15"/>
  <c r="B8" i="15"/>
  <c r="A8" i="15"/>
  <c r="R8" i="15"/>
  <c r="Q29" i="15"/>
  <c r="Q8" i="15"/>
  <c r="U8" i="15"/>
  <c r="Q9" i="15"/>
  <c r="Q19" i="15"/>
  <c r="K8" i="15"/>
  <c r="J8" i="15"/>
  <c r="I9" i="15"/>
  <c r="I19" i="15"/>
  <c r="I30" i="15"/>
  <c r="I29" i="15"/>
  <c r="I18" i="15"/>
  <c r="W30" i="13"/>
  <c r="X30" i="13"/>
  <c r="W29" i="13"/>
  <c r="W19" i="13"/>
  <c r="X19" i="13"/>
  <c r="X18" i="13"/>
  <c r="W18" i="13"/>
  <c r="W9" i="13"/>
  <c r="X9" i="13"/>
  <c r="X8" i="13"/>
  <c r="W8" i="13"/>
  <c r="V8" i="15"/>
  <c r="K18" i="15"/>
  <c r="J18" i="15"/>
  <c r="K9" i="15"/>
  <c r="U9" i="15"/>
  <c r="J9" i="15"/>
  <c r="K29" i="15"/>
  <c r="J29" i="15"/>
  <c r="K19" i="15"/>
  <c r="J19" i="15"/>
  <c r="K30" i="15"/>
  <c r="J30" i="15"/>
  <c r="M30" i="13"/>
  <c r="Q30" i="13"/>
  <c r="N30" i="13"/>
  <c r="O30" i="13"/>
  <c r="P30" i="13"/>
  <c r="N29" i="13"/>
  <c r="O29" i="13"/>
  <c r="P29" i="13"/>
  <c r="M29" i="13"/>
  <c r="M19" i="13"/>
  <c r="Q19" i="13"/>
  <c r="N19" i="13"/>
  <c r="O19" i="13"/>
  <c r="P19" i="13"/>
  <c r="N18" i="13"/>
  <c r="O18" i="13"/>
  <c r="P18" i="13"/>
  <c r="M18" i="13"/>
  <c r="M9" i="13"/>
  <c r="Q9" i="13"/>
  <c r="N9" i="13"/>
  <c r="O9" i="13"/>
  <c r="P9" i="13"/>
  <c r="N8" i="13"/>
  <c r="O8" i="13"/>
  <c r="P8" i="13"/>
  <c r="M8" i="13"/>
  <c r="A30" i="13"/>
  <c r="R30" i="13"/>
  <c r="B30" i="13"/>
  <c r="G30" i="13"/>
  <c r="H30" i="13"/>
  <c r="A19" i="13"/>
  <c r="R19" i="13"/>
  <c r="B19" i="13"/>
  <c r="H19" i="13"/>
  <c r="A9" i="13"/>
  <c r="R9" i="13"/>
  <c r="B9" i="13"/>
  <c r="Q8" i="13"/>
  <c r="Q18" i="13"/>
  <c r="Q29" i="13"/>
  <c r="I30" i="13"/>
  <c r="U30" i="15"/>
  <c r="V30" i="15"/>
  <c r="U29" i="15"/>
  <c r="V29" i="15"/>
  <c r="U19" i="15"/>
  <c r="V19" i="15"/>
  <c r="U18" i="15"/>
  <c r="V18" i="15"/>
  <c r="V9" i="15"/>
  <c r="I19" i="13"/>
  <c r="I9" i="13"/>
  <c r="H29" i="13"/>
  <c r="G29" i="13"/>
  <c r="B29" i="13"/>
  <c r="A29" i="13"/>
  <c r="R29" i="13"/>
  <c r="H18" i="13"/>
  <c r="B18" i="13"/>
  <c r="A18" i="13"/>
  <c r="R18" i="13"/>
  <c r="B8" i="13"/>
  <c r="A8" i="13"/>
  <c r="R8" i="13"/>
  <c r="K19" i="13"/>
  <c r="J19" i="13"/>
  <c r="K30" i="13"/>
  <c r="J30" i="13"/>
  <c r="K9" i="13"/>
  <c r="J9" i="13"/>
  <c r="I18" i="13"/>
  <c r="I8" i="13"/>
  <c r="I29" i="13"/>
  <c r="T27" i="11"/>
  <c r="S27" i="11"/>
  <c r="N27" i="11"/>
  <c r="M27" i="11"/>
  <c r="L27" i="11"/>
  <c r="H27" i="11"/>
  <c r="G27" i="11"/>
  <c r="D27" i="11"/>
  <c r="C27" i="11"/>
  <c r="B27" i="11"/>
  <c r="A27" i="11"/>
  <c r="T17" i="11"/>
  <c r="S17" i="11"/>
  <c r="N17" i="11"/>
  <c r="M17" i="11"/>
  <c r="L17" i="11"/>
  <c r="H17" i="11"/>
  <c r="G17" i="11"/>
  <c r="D17" i="11"/>
  <c r="C17" i="11"/>
  <c r="B17" i="11"/>
  <c r="A17" i="11"/>
  <c r="T8" i="11"/>
  <c r="S8" i="11"/>
  <c r="N8" i="11"/>
  <c r="M8" i="11"/>
  <c r="L8" i="11"/>
  <c r="H8" i="11"/>
  <c r="D8" i="11"/>
  <c r="C8" i="11"/>
  <c r="B8" i="11"/>
  <c r="A8" i="11"/>
  <c r="K18" i="13"/>
  <c r="J18" i="13"/>
  <c r="K29" i="13"/>
  <c r="J29" i="13"/>
  <c r="U9" i="13"/>
  <c r="V9" i="13"/>
  <c r="U30" i="13"/>
  <c r="V30" i="13"/>
  <c r="U19" i="13"/>
  <c r="V19" i="13"/>
  <c r="K8" i="13"/>
  <c r="J8" i="13"/>
  <c r="I8" i="11"/>
  <c r="J8" i="11"/>
  <c r="O8" i="11"/>
  <c r="I17" i="11"/>
  <c r="J17" i="11"/>
  <c r="O17" i="11"/>
  <c r="P17" i="11"/>
  <c r="R17" i="11"/>
  <c r="I27" i="11"/>
  <c r="J27" i="11"/>
  <c r="O27" i="11"/>
  <c r="P27" i="11"/>
  <c r="R27" i="11"/>
  <c r="Q8" i="11"/>
  <c r="P8" i="11"/>
  <c r="R8" i="11"/>
  <c r="Q17" i="11"/>
  <c r="T30" i="9"/>
  <c r="S30" i="9"/>
  <c r="N30" i="9"/>
  <c r="M30" i="9"/>
  <c r="L30" i="9"/>
  <c r="H30" i="9"/>
  <c r="G30" i="9"/>
  <c r="D30" i="9"/>
  <c r="C30" i="9"/>
  <c r="B30" i="9"/>
  <c r="A30" i="9"/>
  <c r="T29" i="9"/>
  <c r="S29" i="9"/>
  <c r="N29" i="9"/>
  <c r="M29" i="9"/>
  <c r="L29" i="9"/>
  <c r="H29" i="9"/>
  <c r="G29" i="9"/>
  <c r="D29" i="9"/>
  <c r="C29" i="9"/>
  <c r="B29" i="9"/>
  <c r="A29" i="9"/>
  <c r="T19" i="9"/>
  <c r="S19" i="9"/>
  <c r="N19" i="9"/>
  <c r="M19" i="9"/>
  <c r="L19" i="9"/>
  <c r="H19" i="9"/>
  <c r="C19" i="9"/>
  <c r="D19" i="9"/>
  <c r="B19" i="9"/>
  <c r="A19" i="9"/>
  <c r="T18" i="9"/>
  <c r="S18" i="9"/>
  <c r="N18" i="9"/>
  <c r="M18" i="9"/>
  <c r="L18" i="9"/>
  <c r="H18" i="9"/>
  <c r="G18" i="9"/>
  <c r="D18" i="9"/>
  <c r="C18" i="9"/>
  <c r="B18" i="9"/>
  <c r="A18" i="9"/>
  <c r="T9" i="9"/>
  <c r="S9" i="9"/>
  <c r="N9" i="9"/>
  <c r="M9" i="9"/>
  <c r="L9" i="9"/>
  <c r="D9" i="9"/>
  <c r="C9" i="9"/>
  <c r="B9" i="9"/>
  <c r="A9" i="9"/>
  <c r="T8" i="9"/>
  <c r="S8" i="9"/>
  <c r="N8" i="9"/>
  <c r="M8" i="9"/>
  <c r="L8" i="9"/>
  <c r="H8" i="9"/>
  <c r="D8" i="9"/>
  <c r="C8" i="9"/>
  <c r="B8" i="9"/>
  <c r="A8" i="9"/>
  <c r="T30" i="7"/>
  <c r="S30" i="7"/>
  <c r="N30" i="7"/>
  <c r="M30" i="7"/>
  <c r="L30" i="7"/>
  <c r="H30" i="7"/>
  <c r="G30" i="7"/>
  <c r="D30" i="7"/>
  <c r="C30" i="7"/>
  <c r="B30" i="7"/>
  <c r="A30" i="7"/>
  <c r="T29" i="7"/>
  <c r="S29" i="7"/>
  <c r="N29" i="7"/>
  <c r="M29" i="7"/>
  <c r="L29" i="7"/>
  <c r="H29" i="7"/>
  <c r="G29" i="7"/>
  <c r="D29" i="7"/>
  <c r="C29" i="7"/>
  <c r="B29" i="7"/>
  <c r="A29" i="7"/>
  <c r="T19" i="7"/>
  <c r="S19" i="7"/>
  <c r="N19" i="7"/>
  <c r="M19" i="7"/>
  <c r="L19" i="7"/>
  <c r="H19" i="7"/>
  <c r="C19" i="7"/>
  <c r="D19" i="7"/>
  <c r="B19" i="7"/>
  <c r="A19" i="7"/>
  <c r="T18" i="7"/>
  <c r="S18" i="7"/>
  <c r="N18" i="7"/>
  <c r="M18" i="7"/>
  <c r="L18" i="7"/>
  <c r="H18" i="7"/>
  <c r="G18" i="7"/>
  <c r="D18" i="7"/>
  <c r="C18" i="7"/>
  <c r="B18" i="7"/>
  <c r="A18" i="7"/>
  <c r="T9" i="7"/>
  <c r="S9" i="7"/>
  <c r="N9" i="7"/>
  <c r="M9" i="7"/>
  <c r="L9" i="7"/>
  <c r="D9" i="7"/>
  <c r="C9" i="7"/>
  <c r="B9" i="7"/>
  <c r="A9" i="7"/>
  <c r="T8" i="7"/>
  <c r="S8" i="7"/>
  <c r="N8" i="7"/>
  <c r="M8" i="7"/>
  <c r="L8" i="7"/>
  <c r="H8" i="7"/>
  <c r="D8" i="7"/>
  <c r="C8" i="7"/>
  <c r="B8" i="7"/>
  <c r="A8" i="7"/>
  <c r="C30" i="2"/>
  <c r="D30" i="2"/>
  <c r="G30" i="2"/>
  <c r="H30" i="2"/>
  <c r="L30" i="2"/>
  <c r="M30" i="2"/>
  <c r="C29" i="2"/>
  <c r="D29" i="2"/>
  <c r="G29" i="2"/>
  <c r="H29" i="2"/>
  <c r="M29" i="2"/>
  <c r="C19" i="2"/>
  <c r="D19" i="2"/>
  <c r="H19" i="2"/>
  <c r="L19" i="2"/>
  <c r="M19" i="2"/>
  <c r="C18" i="2"/>
  <c r="D18" i="2"/>
  <c r="G18" i="2"/>
  <c r="H18" i="2"/>
  <c r="M18" i="2"/>
  <c r="C9" i="2"/>
  <c r="I9" i="2"/>
  <c r="J9" i="2"/>
  <c r="D9" i="2"/>
  <c r="L9" i="2"/>
  <c r="M9" i="2"/>
  <c r="C8" i="2"/>
  <c r="D8" i="2"/>
  <c r="H8" i="2"/>
  <c r="M8" i="2"/>
  <c r="N30" i="2"/>
  <c r="S30" i="2"/>
  <c r="T30" i="2"/>
  <c r="T29" i="2"/>
  <c r="S29" i="2"/>
  <c r="N29" i="2"/>
  <c r="L29" i="2"/>
  <c r="A30" i="2"/>
  <c r="B30" i="2"/>
  <c r="B29" i="2"/>
  <c r="A29" i="2"/>
  <c r="A19" i="2"/>
  <c r="B19" i="2"/>
  <c r="B18" i="2"/>
  <c r="A18" i="2"/>
  <c r="S19" i="2"/>
  <c r="T19" i="2"/>
  <c r="T18" i="2"/>
  <c r="S18" i="2"/>
  <c r="N19" i="2"/>
  <c r="N18" i="2"/>
  <c r="L18" i="2"/>
  <c r="S9" i="2"/>
  <c r="T9" i="2"/>
  <c r="T8" i="2"/>
  <c r="S8" i="2"/>
  <c r="N9" i="2"/>
  <c r="N8" i="2"/>
  <c r="L8" i="2"/>
  <c r="A9" i="2"/>
  <c r="B9" i="2"/>
  <c r="B8" i="2"/>
  <c r="A8" i="2"/>
  <c r="T30" i="5"/>
  <c r="S30" i="5"/>
  <c r="N30" i="5"/>
  <c r="M30" i="5"/>
  <c r="L30" i="5"/>
  <c r="H30" i="5"/>
  <c r="G30" i="5"/>
  <c r="D30" i="5"/>
  <c r="C30" i="5"/>
  <c r="B30" i="5"/>
  <c r="A30" i="5"/>
  <c r="T29" i="5"/>
  <c r="S29" i="5"/>
  <c r="N29" i="5"/>
  <c r="M29" i="5"/>
  <c r="L29" i="5"/>
  <c r="H29" i="5"/>
  <c r="G29" i="5"/>
  <c r="D29" i="5"/>
  <c r="C29" i="5"/>
  <c r="B29" i="5"/>
  <c r="A29" i="5"/>
  <c r="T19" i="5"/>
  <c r="S19" i="5"/>
  <c r="N19" i="5"/>
  <c r="M19" i="5"/>
  <c r="L19" i="5"/>
  <c r="H19" i="5"/>
  <c r="C19" i="5"/>
  <c r="D19" i="5"/>
  <c r="B19" i="5"/>
  <c r="A19" i="5"/>
  <c r="T18" i="5"/>
  <c r="S18" i="5"/>
  <c r="N18" i="5"/>
  <c r="M18" i="5"/>
  <c r="L18" i="5"/>
  <c r="H18" i="5"/>
  <c r="G18" i="5"/>
  <c r="D18" i="5"/>
  <c r="C18" i="5"/>
  <c r="B18" i="5"/>
  <c r="A18" i="5"/>
  <c r="T9" i="5"/>
  <c r="S9" i="5"/>
  <c r="N9" i="5"/>
  <c r="M9" i="5"/>
  <c r="L9" i="5"/>
  <c r="D9" i="5"/>
  <c r="C9" i="5"/>
  <c r="B9" i="5"/>
  <c r="A9" i="5"/>
  <c r="T8" i="5"/>
  <c r="S8" i="5"/>
  <c r="N8" i="5"/>
  <c r="M8" i="5"/>
  <c r="L8" i="5"/>
  <c r="H8" i="5"/>
  <c r="D8" i="5"/>
  <c r="C8" i="5"/>
  <c r="B8" i="5"/>
  <c r="A8" i="5"/>
  <c r="U8" i="13"/>
  <c r="V8" i="13"/>
  <c r="U29" i="13"/>
  <c r="V29" i="13"/>
  <c r="V18" i="13"/>
  <c r="U18" i="13"/>
  <c r="I9" i="9"/>
  <c r="J9" i="9"/>
  <c r="O9" i="9"/>
  <c r="I8" i="2"/>
  <c r="J8" i="2"/>
  <c r="O8" i="2"/>
  <c r="I18" i="9"/>
  <c r="J18" i="9"/>
  <c r="O18" i="9"/>
  <c r="I29" i="9"/>
  <c r="J29" i="9"/>
  <c r="O29" i="9"/>
  <c r="O9" i="2"/>
  <c r="I18" i="2"/>
  <c r="J18" i="2"/>
  <c r="O18" i="2"/>
  <c r="P18" i="2"/>
  <c r="R18" i="2"/>
  <c r="I8" i="7"/>
  <c r="J8" i="7"/>
  <c r="O8" i="7"/>
  <c r="Q27" i="11"/>
  <c r="I9" i="5"/>
  <c r="J9" i="5"/>
  <c r="O9" i="5"/>
  <c r="I19" i="5"/>
  <c r="J19" i="5"/>
  <c r="O19" i="5"/>
  <c r="P19" i="5"/>
  <c r="R19" i="5"/>
  <c r="I29" i="5"/>
  <c r="J29" i="5"/>
  <c r="O29" i="5"/>
  <c r="I30" i="5"/>
  <c r="J30" i="5"/>
  <c r="O30" i="5"/>
  <c r="I19" i="2"/>
  <c r="J19" i="2"/>
  <c r="O19" i="2"/>
  <c r="I18" i="7"/>
  <c r="J18" i="7"/>
  <c r="O18" i="7"/>
  <c r="P18" i="7"/>
  <c r="R18" i="7"/>
  <c r="I8" i="9"/>
  <c r="J8" i="9"/>
  <c r="O8" i="9"/>
  <c r="I8" i="5"/>
  <c r="J8" i="5"/>
  <c r="O8" i="5"/>
  <c r="I29" i="2"/>
  <c r="J29" i="2"/>
  <c r="O29" i="2"/>
  <c r="I18" i="5"/>
  <c r="J18" i="5"/>
  <c r="O18" i="5"/>
  <c r="P18" i="5"/>
  <c r="R18" i="5"/>
  <c r="I30" i="2"/>
  <c r="J30" i="2"/>
  <c r="O30" i="2"/>
  <c r="I9" i="7"/>
  <c r="J9" i="7"/>
  <c r="O9" i="7"/>
  <c r="I19" i="7"/>
  <c r="J19" i="7"/>
  <c r="O19" i="7"/>
  <c r="P19" i="7"/>
  <c r="R19" i="7"/>
  <c r="I29" i="7"/>
  <c r="J29" i="7"/>
  <c r="O29" i="7"/>
  <c r="Q29" i="7"/>
  <c r="I30" i="7"/>
  <c r="J30" i="7"/>
  <c r="O30" i="7"/>
  <c r="I19" i="9"/>
  <c r="J19" i="9"/>
  <c r="O19" i="9"/>
  <c r="I30" i="9"/>
  <c r="J30" i="9"/>
  <c r="O30" i="9"/>
  <c r="Q30" i="9"/>
  <c r="P9" i="9"/>
  <c r="R9" i="9"/>
  <c r="Q9" i="9"/>
  <c r="P8" i="2"/>
  <c r="R8" i="2"/>
  <c r="Q8" i="2"/>
  <c r="Q18" i="2"/>
  <c r="P8" i="7"/>
  <c r="R8" i="7"/>
  <c r="Q8" i="7"/>
  <c r="Q18" i="9"/>
  <c r="P18" i="9"/>
  <c r="R18" i="9"/>
  <c r="Q9" i="5"/>
  <c r="P9" i="5"/>
  <c r="R9" i="5"/>
  <c r="Q19" i="5"/>
  <c r="Q29" i="5"/>
  <c r="P29" i="5"/>
  <c r="R29" i="5"/>
  <c r="P30" i="5"/>
  <c r="R30" i="5"/>
  <c r="Q30" i="5"/>
  <c r="P19" i="2"/>
  <c r="R19" i="2"/>
  <c r="Q19" i="2"/>
  <c r="Q18" i="7"/>
  <c r="Q29" i="9"/>
  <c r="P29" i="9"/>
  <c r="R29" i="9"/>
  <c r="P8" i="9"/>
  <c r="R8" i="9"/>
  <c r="Q8" i="9"/>
  <c r="Q8" i="5"/>
  <c r="P8" i="5"/>
  <c r="R8" i="5"/>
  <c r="P9" i="2"/>
  <c r="R9" i="2"/>
  <c r="Q9" i="2"/>
  <c r="Q29" i="2"/>
  <c r="P29" i="2"/>
  <c r="R29" i="2"/>
  <c r="Q18" i="5"/>
  <c r="P30" i="2"/>
  <c r="R30" i="2"/>
  <c r="Q30" i="2"/>
  <c r="P9" i="7"/>
  <c r="R9" i="7"/>
  <c r="Q9" i="7"/>
  <c r="Q19" i="7"/>
  <c r="P29" i="7"/>
  <c r="R29" i="7"/>
  <c r="P30" i="7"/>
  <c r="R30" i="7"/>
  <c r="Q30" i="7"/>
  <c r="Q19" i="9"/>
  <c r="P19" i="9"/>
  <c r="R19" i="9"/>
  <c r="P30" i="9"/>
  <c r="R30" i="9"/>
  <c r="T8" i="27" l="1"/>
  <c r="V8" i="27" s="1"/>
  <c r="U37" i="23"/>
  <c r="T37" i="23"/>
  <c r="V37" i="23" s="1"/>
  <c r="U38" i="23"/>
  <c r="T38" i="23"/>
  <c r="V38" i="23" s="1"/>
  <c r="U11" i="23"/>
  <c r="T11" i="23"/>
  <c r="V11" i="23" s="1"/>
  <c r="U22" i="23"/>
  <c r="T10" i="23"/>
  <c r="V10" i="23" s="1"/>
  <c r="U34" i="23"/>
  <c r="T9" i="23"/>
  <c r="V9" i="23" s="1"/>
  <c r="U8" i="23"/>
  <c r="T8" i="23"/>
  <c r="V8" i="23" s="1"/>
  <c r="T19" i="20"/>
  <c r="V19" i="20" s="1"/>
  <c r="U19" i="20"/>
  <c r="U8" i="20"/>
  <c r="T8" i="20"/>
  <c r="V8" i="20" s="1"/>
  <c r="U31" i="20"/>
  <c r="T31" i="20"/>
  <c r="V31" i="20" s="1"/>
  <c r="U10" i="19"/>
  <c r="T10" i="19"/>
  <c r="V10" i="19" s="1"/>
  <c r="J8" i="19"/>
  <c r="L8" i="19"/>
  <c r="S8" i="19"/>
  <c r="U8" i="19" s="1"/>
  <c r="S20" i="19"/>
  <c r="U20" i="19" s="1"/>
  <c r="S32" i="19"/>
  <c r="T32" i="19" s="1"/>
  <c r="V32" i="19" s="1"/>
  <c r="S9" i="19"/>
  <c r="S19" i="19"/>
  <c r="S31" i="19"/>
  <c r="T8" i="19" l="1"/>
  <c r="V8" i="19" s="1"/>
  <c r="U32" i="19"/>
  <c r="T20" i="19"/>
  <c r="V20" i="19" s="1"/>
  <c r="U9" i="19"/>
  <c r="T9" i="19"/>
  <c r="V9" i="19" s="1"/>
  <c r="T19" i="19"/>
  <c r="V19" i="19" s="1"/>
  <c r="U19" i="19"/>
  <c r="T31" i="19"/>
  <c r="V31" i="19" s="1"/>
  <c r="U3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30F79867-0D30-B043-BE88-6241813A61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B6786215-1447-B24B-BE5E-944C123EC1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C51A82E6-32DD-CF4B-B828-E365707EED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53703688-0FC6-B94F-BD1D-50AFB9BF79C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6B5A4C9E-FC05-354D-86FF-09D91A9AC20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8" authorId="0" shapeId="0" xr:uid="{A0A8D1DD-6914-CB41-8278-5372635594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1A824813-BE8C-9C44-B2B4-8A919CEABC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7" authorId="0" shapeId="0" xr:uid="{542D1498-F385-EE41-807C-0A3A95237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67CBA4DA-1313-B74E-B4AC-0FBFBF3B01E5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5DBA46E0-806A-904B-B5EF-9EA3A47DCF28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9C92067-D840-E342-9621-5543C1C27A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4ABEF56-0898-CE49-B7A7-46FD005CA1E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FDB8322F-E9DD-C844-864C-FAB6431942C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421D9DEC-04B8-4C49-B2A0-7465A21CEA5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sharedStrings.xml><?xml version="1.0" encoding="utf-8"?>
<sst xmlns="http://schemas.openxmlformats.org/spreadsheetml/2006/main" count="3923" uniqueCount="327">
  <si>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</si>
  <si>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</si>
  <si>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</si>
  <si>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</si>
  <si>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</si>
  <si>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</si>
  <si>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 xml:space="preserve">*The spreadsheets are interactive where the user can adjust quarterly consumption (kWh) and peak/off peak  </t>
    <phoneticPr fontId="2" type="noConversion"/>
  </si>
  <si>
    <t>proportions (%). All red cells contain variables for the user to insert</t>
    <phoneticPr fontId="2" type="noConversion"/>
  </si>
  <si>
    <t>Dual fuel condition? (y/n)</t>
    <phoneticPr fontId="2" type="noConversion"/>
  </si>
  <si>
    <t>Split week tariff: Shoulder - weekends (c/kWh)</t>
    <phoneticPr fontId="2" type="noConversion"/>
  </si>
  <si>
    <t>Seasonal: Peak season shoulder rate (c/kWh)</t>
    <phoneticPr fontId="2" type="noConversion"/>
  </si>
  <si>
    <t>Comments</t>
    <phoneticPr fontId="2" type="noConversion"/>
  </si>
  <si>
    <t>Other incentives</t>
    <phoneticPr fontId="2" type="noConversion"/>
  </si>
  <si>
    <t>Single rate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</si>
  <si>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</si>
  <si>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</si>
  <si>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</si>
  <si>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DB Zone</t>
    <phoneticPr fontId="2" type="noConversion"/>
  </si>
  <si>
    <t>Meter type</t>
    <phoneticPr fontId="2" type="noConversion"/>
  </si>
  <si>
    <t>Effective from</t>
    <phoneticPr fontId="2" type="noConversion"/>
  </si>
  <si>
    <t>Solar (y/n)</t>
    <phoneticPr fontId="2" type="noConversion"/>
  </si>
  <si>
    <t>Insert off-peak proportion (%):</t>
    <phoneticPr fontId="2" type="noConversion"/>
  </si>
  <si>
    <t>Insert quarterly consumption (kWh):</t>
    <phoneticPr fontId="2" type="noConversion"/>
  </si>
  <si>
    <t>Insert peak proportion (%):</t>
    <phoneticPr fontId="2" type="noConversion"/>
  </si>
  <si>
    <t>Insert shoulder proportion (%):</t>
    <phoneticPr fontId="2" type="noConversion"/>
  </si>
  <si>
    <t>Annual bill incl guaranteed discounts (incl GST)</t>
    <phoneticPr fontId="2" type="noConversion"/>
  </si>
  <si>
    <t>Annual bill incl conditional discounts (incl GST)</t>
    <phoneticPr fontId="2" type="noConversion"/>
  </si>
  <si>
    <t>Supply charge</t>
    <phoneticPr fontId="2" type="noConversion"/>
  </si>
  <si>
    <t>Single</t>
    <phoneticPr fontId="2" type="noConversion"/>
  </si>
  <si>
    <t>ERM Power</t>
    <phoneticPr fontId="2" type="noConversion"/>
  </si>
  <si>
    <t>Adjustable</t>
    <phoneticPr fontId="2" type="noConversion"/>
  </si>
  <si>
    <t>Controlled</t>
    <phoneticPr fontId="2" type="noConversion"/>
  </si>
  <si>
    <t>Tas-Controlled 1</t>
    <phoneticPr fontId="2" type="noConversion"/>
  </si>
  <si>
    <t>TOU</t>
    <phoneticPr fontId="2" type="noConversion"/>
  </si>
  <si>
    <t>Tas-TOU</t>
    <phoneticPr fontId="2" type="noConversion"/>
  </si>
  <si>
    <t>Retailer</t>
    <phoneticPr fontId="2" type="noConversion"/>
  </si>
  <si>
    <t>Offer</t>
    <phoneticPr fontId="2" type="noConversion"/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</si>
  <si>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</si>
  <si>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</si>
  <si>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</si>
  <si>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3) Time of Use (TOU). Three part tariff with peak, shoulder and off-peak rates.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</si>
  <si>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</si>
  <si>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</si>
  <si>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TAS Workbook 1 - Electricity offers</t>
    <phoneticPr fontId="2" type="noConversion"/>
  </si>
  <si>
    <t xml:space="preserve">changes to SME energy offers in the Tasmania.  </t>
    <phoneticPr fontId="2" type="noConversion"/>
  </si>
  <si>
    <t>2) Controlled load (also known as dedicated circuit). Typically used for hot water and heating.</t>
    <phoneticPr fontId="2" type="noConversion"/>
  </si>
  <si>
    <t>TAS Retailers:</t>
    <phoneticPr fontId="2" type="noConversion"/>
  </si>
  <si>
    <t xml:space="preserve">workbook, it is suitable for use only as a research and advocacy tool. We do not accept any legal responsibility for errors or inaccuracies. </t>
  </si>
  <si>
    <t>TASMANIA, TasNetworks</t>
    <phoneticPr fontId="2" type="noConversion"/>
  </si>
  <si>
    <t>Cont' off peak 1st step (kWh)</t>
    <phoneticPr fontId="2" type="noConversion"/>
  </si>
  <si>
    <t>Cont' off peak 2nd rate</t>
    <phoneticPr fontId="2" type="noConversion"/>
  </si>
  <si>
    <t>Shoulder (c/kWh)</t>
    <phoneticPr fontId="2" type="noConversion"/>
  </si>
  <si>
    <t>Split week tariff: Shoulder - weekdays (c/kWh)</t>
    <phoneticPr fontId="2" type="noConversion"/>
  </si>
  <si>
    <t>Approx. incentive value ($)</t>
    <phoneticPr fontId="2" type="noConversion"/>
  </si>
  <si>
    <t>Dual Fuel discount off usage (%)</t>
    <phoneticPr fontId="2" type="noConversion"/>
  </si>
  <si>
    <t>Contract length (months)</t>
    <phoneticPr fontId="2" type="noConversion"/>
  </si>
  <si>
    <t>ETF (Y/N)</t>
    <phoneticPr fontId="2" type="noConversion"/>
  </si>
  <si>
    <t>Limited benefit period? (months)</t>
    <phoneticPr fontId="2" type="noConversion"/>
  </si>
  <si>
    <t>Other Direct Debit Incentive (y/n)</t>
    <phoneticPr fontId="2" type="noConversion"/>
  </si>
  <si>
    <t>Service fee ($ per month)</t>
    <phoneticPr fontId="2" type="noConversion"/>
  </si>
  <si>
    <t>Incentive type</t>
    <phoneticPr fontId="2" type="noConversion"/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</si>
  <si>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</si>
  <si>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</si>
  <si>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</si>
  <si>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</si>
  <si>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</si>
  <si>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Annual bill incl guaranteed discounts</t>
  </si>
  <si>
    <t>Annual bill incl conditional discounts</t>
  </si>
  <si>
    <t>Contract length (months)</t>
  </si>
  <si>
    <t>TOU</t>
    <phoneticPr fontId="2" type="noConversion"/>
  </si>
  <si>
    <t>y</t>
    <phoneticPr fontId="2" type="noConversion"/>
  </si>
  <si>
    <t>o</t>
    <phoneticPr fontId="2" type="noConversion"/>
  </si>
  <si>
    <t>Solar meter fee (c/day)</t>
  </si>
  <si>
    <t>Retailer</t>
  </si>
  <si>
    <t>Name</t>
    <phoneticPr fontId="2" type="noConversion"/>
  </si>
  <si>
    <t>Supply (c/day)</t>
  </si>
  <si>
    <t>Single or peak rate (c/kWh)</t>
    <phoneticPr fontId="2" type="noConversion"/>
  </si>
  <si>
    <t>block type</t>
  </si>
  <si>
    <t>Peak 1st step (kWh)</t>
    <phoneticPr fontId="2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</si>
  <si>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</si>
  <si>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</si>
  <si>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</si>
  <si>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</si>
  <si>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</si>
  <si>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</si>
  <si>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</si>
  <si>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</si>
  <si>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</si>
  <si>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Summer or winter peak (s/w)</t>
    <phoneticPr fontId="2" type="noConversion"/>
  </si>
  <si>
    <t>Number of peak months</t>
    <phoneticPr fontId="2" type="noConversion"/>
  </si>
  <si>
    <t>solar (net/gross)</t>
  </si>
  <si>
    <t>FIT (c/kWh)</t>
    <phoneticPr fontId="2" type="noConversion"/>
  </si>
  <si>
    <t>Green (y/n/o)</t>
    <phoneticPr fontId="2" type="noConversion"/>
  </si>
  <si>
    <t>Green note</t>
    <phoneticPr fontId="2" type="noConversion"/>
  </si>
  <si>
    <t>Guaranteed discount off bill (%)</t>
    <phoneticPr fontId="2" type="noConversion"/>
  </si>
  <si>
    <t>Exit fee (yes/no)</t>
  </si>
  <si>
    <t>Controlled load</t>
  </si>
  <si>
    <t>Insert peak proportion (%):</t>
  </si>
  <si>
    <t>Seasonal: Off-peak/ Off-peak rate (c/kWh)</t>
    <phoneticPr fontId="2" type="noConversion"/>
  </si>
  <si>
    <t>Cont' off peak</t>
    <phoneticPr fontId="2" type="noConversion"/>
  </si>
  <si>
    <t>Restricted eligibility? (n/so/nso)</t>
    <phoneticPr fontId="2" type="noConversion"/>
  </si>
  <si>
    <t>SME Tariff-Tracker</t>
    <phoneticPr fontId="2" type="noConversion"/>
  </si>
  <si>
    <t>DISCLAIMER:</t>
  </si>
  <si>
    <t xml:space="preserve">The energy offers, tariffs and bill calculations presented in this workbook should be used as a general guide only and should not be </t>
  </si>
  <si>
    <t>Aurora Energy</t>
    <phoneticPr fontId="2" type="noConversion"/>
  </si>
  <si>
    <t>quarter</t>
    <phoneticPr fontId="2" type="noConversion"/>
  </si>
  <si>
    <t>Tas-Single</t>
    <phoneticPr fontId="2" type="noConversion"/>
  </si>
  <si>
    <t>net</t>
    <phoneticPr fontId="2" type="noConversion"/>
  </si>
  <si>
    <t>TAS</t>
    <phoneticPr fontId="2" type="noConversion"/>
  </si>
  <si>
    <t>Aurora</t>
    <phoneticPr fontId="2" type="noConversion"/>
  </si>
  <si>
    <t>Seasonal: Off peak season shoulder rate (c/kWh)</t>
    <phoneticPr fontId="2" type="noConversion"/>
  </si>
  <si>
    <t>Peak or single Capacity charge  (c/kVA/day)</t>
    <phoneticPr fontId="2" type="noConversion"/>
  </si>
  <si>
    <t>Shoulder Capacity charge  (c/kVA/day)</t>
    <phoneticPr fontId="2" type="noConversion"/>
  </si>
  <si>
    <t>Off-peak Capacity charge  (c/kVA/day)</t>
    <phoneticPr fontId="2" type="noConversion"/>
  </si>
  <si>
    <t>Time structure Code</t>
    <phoneticPr fontId="2" type="noConversion"/>
  </si>
  <si>
    <t>Seasonal? (y/n)</t>
    <phoneticPr fontId="2" type="noConversion"/>
  </si>
  <si>
    <t>Peak 2nd rate (c/kWh)</t>
    <phoneticPr fontId="2" type="noConversion"/>
  </si>
  <si>
    <t>Peak 2nd step (kWh)</t>
    <phoneticPr fontId="2" type="noConversion"/>
  </si>
  <si>
    <t>Peak 3rd rate (c/kWh)</t>
    <phoneticPr fontId="2" type="noConversion"/>
  </si>
  <si>
    <t>Peak 3rd step (kWh)</t>
    <phoneticPr fontId="2" type="noConversion"/>
  </si>
  <si>
    <t>Peak 4th rate (c/kWh)</t>
    <phoneticPr fontId="2" type="noConversion"/>
  </si>
  <si>
    <t>Seasonal: peak/ off-peak rate (c/kWh)</t>
    <phoneticPr fontId="2" type="noConversion"/>
  </si>
  <si>
    <t>Off-peak rate (c/kWh)</t>
    <phoneticPr fontId="2" type="noConversion"/>
  </si>
  <si>
    <t>Guaranteed discount off usage (%)</t>
    <phoneticPr fontId="2" type="noConversion"/>
  </si>
  <si>
    <t>POT discount off bill (%)</t>
    <phoneticPr fontId="2" type="noConversion"/>
  </si>
  <si>
    <t>POT discount off usage (%)</t>
    <phoneticPr fontId="2" type="noConversion"/>
  </si>
  <si>
    <t>ID</t>
  </si>
  <si>
    <t>Timestamp</t>
    <phoneticPr fontId="2" type="noConversion"/>
  </si>
  <si>
    <t>State</t>
    <phoneticPr fontId="2" type="noConversion"/>
  </si>
  <si>
    <t>DB</t>
    <phoneticPr fontId="2" type="noConversion"/>
  </si>
  <si>
    <t>quarter</t>
    <phoneticPr fontId="7" type="noConversion"/>
  </si>
  <si>
    <t>Regulated offer</t>
  </si>
  <si>
    <t>Tab colors:</t>
  </si>
  <si>
    <t>April</t>
  </si>
  <si>
    <t>Source: www.tasnetworks.com.au</t>
  </si>
  <si>
    <t>DD discount off bill (%)</t>
    <phoneticPr fontId="2" type="noConversion"/>
  </si>
  <si>
    <t>DD discount off usage (%)</t>
    <phoneticPr fontId="2" type="noConversion"/>
  </si>
  <si>
    <t>E-bill discount off bill (%)</t>
    <phoneticPr fontId="2" type="noConversion"/>
  </si>
  <si>
    <t>E-bill discount off usage (%)</t>
    <phoneticPr fontId="2" type="noConversion"/>
  </si>
  <si>
    <t>Dual Fuel discount off bill (%)</t>
    <phoneticPr fontId="2" type="noConversion"/>
  </si>
  <si>
    <t>Off peak 1st step (kWh)</t>
    <phoneticPr fontId="2" type="noConversion"/>
  </si>
  <si>
    <t>Off peak 2nd rate (c/kWh)</t>
    <phoneticPr fontId="2" type="noConversion"/>
  </si>
  <si>
    <t>Off peak 2nd step (kWh)</t>
    <phoneticPr fontId="2" type="noConversion"/>
  </si>
  <si>
    <t>Off peak 3rd rate (c/kWh)</t>
    <phoneticPr fontId="2" type="noConversion"/>
  </si>
  <si>
    <t>Off peak 3rd step (kWh)</t>
    <phoneticPr fontId="2" type="noConversion"/>
  </si>
  <si>
    <t>Off peak 4th rate (c/kWh)</t>
    <phoneticPr fontId="2" type="noConversion"/>
  </si>
  <si>
    <t>Seasonal tariff with non-seasonal off-peak rate (c/kWh)</t>
    <phoneticPr fontId="2" type="noConversion"/>
  </si>
  <si>
    <t>n</t>
    <phoneticPr fontId="2" type="noConversion"/>
  </si>
  <si>
    <t>Insert controlled off-peak proportion (%):</t>
  </si>
  <si>
    <t>Small Business Electricity Offers</t>
    <phoneticPr fontId="2" type="noConversion"/>
  </si>
  <si>
    <t>TAS</t>
    <phoneticPr fontId="2" type="noConversion"/>
  </si>
  <si>
    <t>Aurora</t>
    <phoneticPr fontId="2" type="noConversion"/>
  </si>
  <si>
    <t>Single</t>
    <phoneticPr fontId="2" type="noConversion"/>
  </si>
  <si>
    <t>1st block</t>
    <phoneticPr fontId="2" type="noConversion"/>
  </si>
  <si>
    <t>Peak balance</t>
    <phoneticPr fontId="2" type="noConversion"/>
  </si>
  <si>
    <t>Shoulder</t>
    <phoneticPr fontId="2" type="noConversion"/>
  </si>
  <si>
    <t>Off-Peak</t>
    <phoneticPr fontId="2" type="noConversion"/>
  </si>
  <si>
    <t>Annual bill (excl GST)</t>
    <phoneticPr fontId="2" type="noConversion"/>
  </si>
  <si>
    <t>Annual bill incl guaranteed discounts</t>
    <phoneticPr fontId="2" type="noConversion"/>
  </si>
  <si>
    <t>Annual bill incl conditional discounts</t>
    <phoneticPr fontId="2" type="noConversion"/>
  </si>
  <si>
    <t>Exit fee (yes/no)</t>
    <phoneticPr fontId="2" type="noConversion"/>
  </si>
  <si>
    <t>October</t>
  </si>
  <si>
    <t>TAS</t>
    <phoneticPr fontId="8" type="noConversion"/>
  </si>
  <si>
    <t>Controlled</t>
    <phoneticPr fontId="8" type="noConversion"/>
  </si>
  <si>
    <t>y</t>
    <phoneticPr fontId="8" type="noConversion"/>
  </si>
  <si>
    <t>n</t>
    <phoneticPr fontId="8" type="noConversion"/>
  </si>
  <si>
    <t>Aurora Energy</t>
    <phoneticPr fontId="8" type="noConversion"/>
  </si>
  <si>
    <t>Regulated</t>
    <phoneticPr fontId="8" type="noConversion"/>
  </si>
  <si>
    <t>quarter</t>
    <phoneticPr fontId="8" type="noConversion"/>
  </si>
  <si>
    <t>Tas-Controlled 1</t>
    <phoneticPr fontId="8" type="noConversion"/>
  </si>
  <si>
    <t>net</t>
    <phoneticPr fontId="8" type="noConversion"/>
  </si>
  <si>
    <t>o</t>
    <phoneticPr fontId="8" type="noConversion"/>
  </si>
  <si>
    <t>DD discount of 5 cents/day</t>
  </si>
  <si>
    <t>Account credit</t>
  </si>
  <si>
    <t>TOU</t>
    <phoneticPr fontId="8" type="noConversion"/>
  </si>
  <si>
    <t>Tas-TOU</t>
    <phoneticPr fontId="8" type="noConversion"/>
  </si>
  <si>
    <t>net</t>
    <phoneticPr fontId="8" type="noConversion"/>
  </si>
  <si>
    <t>Single</t>
    <phoneticPr fontId="8" type="noConversion"/>
  </si>
  <si>
    <t>Tas-Single</t>
    <phoneticPr fontId="8" type="noConversion"/>
  </si>
  <si>
    <t>Tasnetworks</t>
  </si>
  <si>
    <t>Aurora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</si>
  <si>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</si>
  <si>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</si>
  <si>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</si>
  <si>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</si>
  <si>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n</t>
    <phoneticPr fontId="8" type="noConversion"/>
  </si>
  <si>
    <t>TAS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</si>
  <si>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</si>
  <si>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</si>
  <si>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</si>
  <si>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Aurora Energy</t>
    <phoneticPr fontId="7" type="noConversion"/>
  </si>
  <si>
    <t>Regulated</t>
    <phoneticPr fontId="7" type="noConversion"/>
  </si>
  <si>
    <t>Tas-Single</t>
    <phoneticPr fontId="7" type="noConversion"/>
  </si>
  <si>
    <t>net</t>
    <phoneticPr fontId="7" type="noConversion"/>
  </si>
  <si>
    <t>o</t>
    <phoneticPr fontId="7" type="noConversion"/>
  </si>
  <si>
    <t>Controlled</t>
    <phoneticPr fontId="7" type="noConversion"/>
  </si>
  <si>
    <t>Tas-Controlled 1</t>
    <phoneticPr fontId="7" type="noConversion"/>
  </si>
  <si>
    <t>TOU</t>
    <phoneticPr fontId="7" type="noConversion"/>
  </si>
  <si>
    <t>Tas-TOU</t>
    <phoneticPr fontId="7" type="noConversion"/>
  </si>
  <si>
    <t>ERM Power</t>
    <phoneticPr fontId="7" type="noConversion"/>
  </si>
  <si>
    <t>Adjustable</t>
    <phoneticPr fontId="7" type="noConversion"/>
  </si>
  <si>
    <t>Aurora</t>
    <phoneticPr fontId="7" type="noConversion"/>
  </si>
  <si>
    <t>TAS</t>
    <phoneticPr fontId="9" type="noConversion"/>
  </si>
  <si>
    <t>TasNetworks</t>
  </si>
  <si>
    <t>Single</t>
    <phoneticPr fontId="9" type="noConversion"/>
  </si>
  <si>
    <t>y</t>
    <phoneticPr fontId="9" type="noConversion"/>
  </si>
  <si>
    <t>n</t>
    <phoneticPr fontId="9" type="noConversion"/>
  </si>
  <si>
    <t>1st Energy</t>
  </si>
  <si>
    <t>1st Saver</t>
  </si>
  <si>
    <t>quarter</t>
    <phoneticPr fontId="9" type="noConversion"/>
  </si>
  <si>
    <t>Tas-Single</t>
    <phoneticPr fontId="9" type="noConversion"/>
  </si>
  <si>
    <t>net</t>
    <phoneticPr fontId="9" type="noConversion"/>
  </si>
  <si>
    <t>o</t>
    <phoneticPr fontId="9" type="noConversion"/>
  </si>
  <si>
    <t>Monthly billing</t>
  </si>
  <si>
    <t>Controlled</t>
    <phoneticPr fontId="9" type="noConversion"/>
  </si>
  <si>
    <t>Tas-Controlled 1</t>
    <phoneticPr fontId="9" type="noConversion"/>
  </si>
  <si>
    <t>TOU</t>
    <phoneticPr fontId="9" type="noConversion"/>
  </si>
  <si>
    <t>Tas-TOU</t>
    <phoneticPr fontId="9" type="noConversion"/>
  </si>
  <si>
    <t xml:space="preserve">*Electricity market offers  as of April 2016, April 2017, October 2017, April 2018, October 2018, </t>
  </si>
  <si>
    <t>TAS</t>
  </si>
  <si>
    <t>Single</t>
  </si>
  <si>
    <t>y</t>
  </si>
  <si>
    <t>n</t>
  </si>
  <si>
    <t>Aurora Energy</t>
  </si>
  <si>
    <t>Regulated</t>
  </si>
  <si>
    <t>quarter</t>
  </si>
  <si>
    <t>Tas-Single</t>
  </si>
  <si>
    <t>net</t>
  </si>
  <si>
    <t>o</t>
  </si>
  <si>
    <t>DD discount of 5.5 cents/day</t>
  </si>
  <si>
    <t>TAS</t>
    <phoneticPr fontId="0" type="noConversion"/>
  </si>
  <si>
    <t>TOU</t>
    <phoneticPr fontId="0" type="noConversion"/>
  </si>
  <si>
    <t>y</t>
    <phoneticPr fontId="0" type="noConversion"/>
  </si>
  <si>
    <t>n</t>
    <phoneticPr fontId="0" type="noConversion"/>
  </si>
  <si>
    <t>Aurora Energy</t>
    <phoneticPr fontId="0" type="noConversion"/>
  </si>
  <si>
    <t>Regulated</t>
    <phoneticPr fontId="0" type="noConversion"/>
  </si>
  <si>
    <t/>
  </si>
  <si>
    <t>Tas-TOU</t>
    <phoneticPr fontId="0" type="noConversion"/>
  </si>
  <si>
    <t>net</t>
    <phoneticPr fontId="0" type="noConversion"/>
  </si>
  <si>
    <t>o</t>
    <phoneticPr fontId="0" type="noConversion"/>
  </si>
  <si>
    <t>Controlled</t>
    <phoneticPr fontId="0" type="noConversion"/>
  </si>
  <si>
    <t>quarter</t>
    <phoneticPr fontId="0" type="noConversion"/>
  </si>
  <si>
    <t>Tas-Controlled 1</t>
    <phoneticPr fontId="0" type="noConversion"/>
  </si>
  <si>
    <t>Annual consumption only</t>
  </si>
  <si>
    <t>Type of discount</t>
  </si>
  <si>
    <t>Discount is inclusive or exclusive of GST</t>
  </si>
  <si>
    <t>Annual bill (incl GST)</t>
  </si>
  <si>
    <t>Annual bill incl guaranteed discounts (excl GST)</t>
    <phoneticPr fontId="1" type="noConversion"/>
  </si>
  <si>
    <t>Annual bill incl conditional discounts (excl GST)</t>
    <phoneticPr fontId="1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</si>
  <si>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</si>
  <si>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Minimum monthly demand charged (kW)</t>
    <phoneticPr fontId="0" type="noConversion"/>
  </si>
  <si>
    <t>Price fix (months)</t>
  </si>
  <si>
    <t>Price fix (date)</t>
  </si>
  <si>
    <t>Mandatory shortened billing cycle (months)</t>
  </si>
  <si>
    <t>Single</t>
    <phoneticPr fontId="0" type="noConversion"/>
  </si>
  <si>
    <t>Tas-Single</t>
    <phoneticPr fontId="0" type="noConversion"/>
  </si>
  <si>
    <t>https://www.auroraenergy.com.au/sites/default/files/2020-07/22-GeneralBusiness-AUR23726RBE3-EnergyMadeEasy.pdf</t>
  </si>
  <si>
    <t>Changed</t>
  </si>
  <si>
    <t>https://www.energymadeeasy.gov.au/plan?id=1ST67430MBE1&amp;utm_source=1st%20Energy&amp;utm_campaign=bpi-retailer&amp;utm_medium=retailer&amp;postcode=7000</t>
  </si>
  <si>
    <t>Unchanged</t>
  </si>
  <si>
    <t>Future X Power</t>
  </si>
  <si>
    <t>Business Smart</t>
  </si>
  <si>
    <t>https://www.energymadeeasy.gov.au/plan?id=FXP13753MBE1&amp;postcode=7000</t>
  </si>
  <si>
    <t>Controlled</t>
  </si>
  <si>
    <t>Tas-Controlled 1</t>
  </si>
  <si>
    <t>https://www.auroraenergy.com.au/sites/default/files/2020-07/22-43-61-GeneralBusiness-HotWater-OffPeak-AUR23727RBE3-EnergyMadeEasy.pdf</t>
  </si>
  <si>
    <t>https://www.energymadeeasy.gov.au/plan?id=1ST67431MBE1&amp;utm_source=1st%20Energy&amp;utm_campaign=bpi-retailer&amp;utm_medium=retailer&amp;postcode=7000</t>
  </si>
  <si>
    <t>https://www.energymadeeasy.gov.au/plan?id=FXP13728MBE1&amp;postcode=7000</t>
  </si>
  <si>
    <t>TOU</t>
  </si>
  <si>
    <t>Tas-TOU</t>
  </si>
  <si>
    <t>https://www.auroraenergy.com.au/sites/default/files/2020-07/94-BusinessTimeofUse-AUR23725RBE3-EnergyMadeEasy.pdf</t>
  </si>
  <si>
    <t>https://www.energymadeeasy.gov.au/plan?id=1ST67446MBE1&amp;utm_source=1st%20Energy&amp;utm_campaign=bpi-retailer&amp;utm_medium=retailer&amp;postcode=7000</t>
  </si>
  <si>
    <t>Service fee ($ per annum)</t>
  </si>
  <si>
    <t>Purpose of SME Tariff-Tracking project:</t>
  </si>
  <si>
    <t>Covau</t>
  </si>
  <si>
    <t>Freedom</t>
  </si>
  <si>
    <t>https://www.energymadeeasy.gov.au/plan?id=COV316329MBE1&amp;postcode=7000</t>
  </si>
  <si>
    <t>Glow Power</t>
  </si>
  <si>
    <t>Market Offer</t>
  </si>
  <si>
    <t>https://www.energymadeeasy.gov.au/plan?id=ESM309795MBE1&amp;postcode=7000</t>
  </si>
  <si>
    <t>Energy Locals</t>
  </si>
  <si>
    <t>Business Member</t>
  </si>
  <si>
    <t>https://www.energymadeeasy.gov.au/plan?id=LCL305294MBE1&amp;postcode=7000</t>
  </si>
  <si>
    <t>https://www.energymadeeasy.gov.au/plan?id=AUR23726RBE5&amp;postcode=7000</t>
  </si>
  <si>
    <t>https://www.energymadeeasy.gov.au/plan?id=1ST255123MBE1&amp;postcode=7000</t>
  </si>
  <si>
    <t>Flexi Saver</t>
  </si>
  <si>
    <t>https://www.energymadeeasy.gov.au/plan?id=AUR23729RBE5&amp;postcode=7000</t>
  </si>
  <si>
    <t>https://www.energymadeeasy.gov.au/plan?id=1ST255125MBE1&amp;postcode=7000</t>
  </si>
  <si>
    <t>https://www.energymadeeasy.gov.au/plan?id=AUR23725RBE5&amp;postcode=7000</t>
  </si>
  <si>
    <t>https://www.energymadeeasy.gov.au/plan?id=COV316333MBE1&amp;postcode=7000</t>
  </si>
  <si>
    <t>Fixed price (months)</t>
  </si>
  <si>
    <t>Benefit period (months)</t>
  </si>
  <si>
    <t>https://www.energymadeeasy.gov.au/plan?id=AUR23727RBE5&amp;postcode=7002</t>
  </si>
  <si>
    <t>https://www.energymadeeasy.gov.au/plan?id=1ST329717MBE1&amp;postcode=7000</t>
  </si>
  <si>
    <t>https://www.energymadeeasy.gov.au/plan?id=FXP13729MBE1&amp;postcode=7000</t>
  </si>
  <si>
    <t>nso</t>
    <phoneticPr fontId="0" type="noConversion"/>
  </si>
  <si>
    <t>CovaU</t>
    <phoneticPr fontId="0" type="noConversion"/>
  </si>
  <si>
    <t>Freedom Online</t>
  </si>
  <si>
    <t>$50 one-off sign-up credits (including GST) will be applied on your first invoice after switching to CovaU. This's applicable to new customer who sign up on CovaU's website only.</t>
  </si>
  <si>
    <t>Not available</t>
  </si>
  <si>
    <t>https://www.energymadeeasy.gov.au/plan?id=LCL360768MBE1&amp;postcode=7000</t>
  </si>
  <si>
    <t>GlowPower</t>
  </si>
  <si>
    <t xml:space="preserve">Business </t>
  </si>
  <si>
    <t>https://www.energymadeeasy.gov.au/plan?id=AUR23727RBE5&amp;postcode=7000</t>
  </si>
  <si>
    <t>https://www.energymadeeasy.gov.au/plan?id=LCL360770MBE1&amp;postcode=7000</t>
  </si>
  <si>
    <t>https://www.energymadeeasy.gov.au/plan?id=AUR105774RBE3&amp;postcode=7000</t>
  </si>
  <si>
    <t>https://www.energymadeeasy.gov.au/plan?id=1ST329721MBE1&amp;postcode=7000</t>
  </si>
  <si>
    <t>https://www.energymadeeasy.gov.au/plan?id=LCL360772MBE1&amp;postcode=7000</t>
  </si>
  <si>
    <t>https://www.energymadeeasy.gov.au/plan?id=ESM309797MBE1&amp;postcode=7000</t>
  </si>
  <si>
    <t>https://www.energymadeeasy.gov.au/plan?id=1ST410518MBE1&amp;postcode=7000</t>
  </si>
  <si>
    <t xml:space="preserve">$50 sign-up credits </t>
  </si>
  <si>
    <t>https://www.energymadeeasy.gov.au/plan?id=COV479824MBE1&amp;postcode=7000</t>
  </si>
  <si>
    <t>https://www.energymadeeasy.gov.au/plan?id=LCL467269MBE1&amp;postcode=7000</t>
  </si>
  <si>
    <t>https://www.auroraenergy.com.au/sites/default/files/2022-07/2022GeneralBusinessHotWaterOff-Peak-AUR23727RBE6-EnergyMadeEasy.pdf</t>
  </si>
  <si>
    <t>https://www.energymadeeasy.gov.au/plan?id=1ST410521MBE1&amp;postcode=7000</t>
  </si>
  <si>
    <t>https://www.energymadeeasy.gov.au/plan?id=COV479825MBE1&amp;postcode=7000</t>
  </si>
  <si>
    <t>https://www.energymadeeasy.gov.au/plan?id=LCL467275MBE1&amp;postcode=7000</t>
  </si>
  <si>
    <t>https://www.energymadeeasy.gov.au/plan?id=1ST411922MBE1&amp;postcode=7000</t>
  </si>
  <si>
    <t>https://www.energymadeeasy.gov.au/plan?id=LCL467270MBE1&amp;postcode=7000</t>
  </si>
  <si>
    <t>April 2019, October 2019, April 2020, October 2020, April 2021, October 2021, April 2022, October 2022 and April 2023</t>
  </si>
  <si>
    <t>FIT (c/kWh)</t>
    <phoneticPr fontId="7" type="noConversion"/>
  </si>
  <si>
    <t>FIT Block type</t>
  </si>
  <si>
    <t>1st step (kWh/block)</t>
  </si>
  <si>
    <t>1st step (months)</t>
  </si>
  <si>
    <t>2nd FIT (c/kWh)</t>
  </si>
  <si>
    <t>https://www.energymadeeasy.gov.au/plan?id=COV479824MBE2&amp;postcode=7000</t>
  </si>
  <si>
    <t>https://www.energymadeeasy.gov.au/plan?id=LCL469803MBE4&amp;postcode=7000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</si>
</sst>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308"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3" fillId="13" borderId="8" xfId="0" applyFont="1" applyFill="1" applyBorder="1"/>
    <xf numFmtId="0" fontId="3" fillId="13" borderId="0" xfId="0" applyFont="1" applyFill="1"/>
    <xf numFmtId="0" fontId="3" fillId="13" borderId="5" xfId="0" applyFont="1" applyFill="1" applyBorder="1"/>
    <xf numFmtId="14" fontId="1" fillId="0" borderId="1" xfId="0" applyNumberFormat="1" applyFont="1" applyBorder="1"/>
    <xf numFmtId="0" fontId="7" fillId="13" borderId="0" xfId="0" applyFont="1" applyFill="1"/>
    <xf numFmtId="0" fontId="8" fillId="13" borderId="0" xfId="0" applyFont="1" applyFill="1"/>
    <xf numFmtId="0" fontId="8" fillId="13" borderId="7" xfId="0" applyFont="1" applyFill="1" applyBorder="1"/>
    <xf numFmtId="0" fontId="10" fillId="13" borderId="8" xfId="0" applyFont="1" applyFill="1" applyBorder="1"/>
    <xf numFmtId="0" fontId="4" fillId="13" borderId="0" xfId="0" applyFont="1" applyFill="1"/>
    <xf numFmtId="0" fontId="10" fillId="13" borderId="0" xfId="0" applyFont="1" applyFill="1"/>
    <xf numFmtId="0" fontId="11" fillId="13" borderId="0" xfId="0" applyFont="1" applyFill="1"/>
    <xf numFmtId="0" fontId="3" fillId="13" borderId="0" xfId="0" applyFont="1" applyFill="1" applyProtection="1">
      <protection hidden="1"/>
    </xf>
    <xf numFmtId="0" fontId="10" fillId="0" borderId="0" xfId="0" applyFont="1"/>
    <xf numFmtId="0" fontId="3" fillId="13" borderId="10" xfId="0" applyFont="1" applyFill="1" applyBorder="1"/>
    <xf numFmtId="0" fontId="3" fillId="13" borderId="11" xfId="0" applyFont="1" applyFill="1" applyBorder="1"/>
    <xf numFmtId="0" fontId="10" fillId="13" borderId="11" xfId="0" applyFont="1" applyFill="1" applyBorder="1"/>
    <xf numFmtId="0" fontId="3" fillId="14" borderId="0" xfId="0" applyFont="1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15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15" borderId="0" xfId="0" applyFont="1" applyFill="1" applyProtection="1">
      <protection hidden="1"/>
    </xf>
    <xf numFmtId="0" fontId="3" fillId="15" borderId="11" xfId="0" applyFont="1" applyFill="1" applyBorder="1" applyProtection="1">
      <protection hidden="1"/>
    </xf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0" fontId="3" fillId="15" borderId="0" xfId="0" applyFont="1" applyFill="1" applyAlignment="1" applyProtection="1">
      <alignment wrapText="1"/>
      <protection hidden="1"/>
    </xf>
    <xf numFmtId="4" fontId="3" fillId="13" borderId="3" xfId="0" applyNumberFormat="1" applyFont="1" applyFill="1" applyBorder="1" applyProtection="1">
      <protection hidden="1"/>
    </xf>
    <xf numFmtId="4" fontId="3" fillId="13" borderId="4" xfId="0" applyNumberFormat="1" applyFont="1" applyFill="1" applyBorder="1" applyProtection="1">
      <protection hidden="1"/>
    </xf>
    <xf numFmtId="2" fontId="3" fillId="13" borderId="3" xfId="0" applyNumberFormat="1" applyFont="1" applyFill="1" applyBorder="1" applyAlignment="1" applyProtection="1">
      <alignment horizontal="right"/>
      <protection hidden="1"/>
    </xf>
    <xf numFmtId="4" fontId="3" fillId="13" borderId="2" xfId="0" applyNumberFormat="1" applyFont="1" applyFill="1" applyBorder="1" applyProtection="1">
      <protection hidden="1"/>
    </xf>
    <xf numFmtId="3" fontId="3" fillId="13" borderId="3" xfId="0" applyNumberFormat="1" applyFont="1" applyFill="1" applyBorder="1" applyProtection="1">
      <protection hidden="1"/>
    </xf>
    <xf numFmtId="3" fontId="4" fillId="13" borderId="3" xfId="0" applyNumberFormat="1" applyFont="1" applyFill="1" applyBorder="1" applyProtection="1">
      <protection hidden="1"/>
    </xf>
    <xf numFmtId="0" fontId="3" fillId="13" borderId="3" xfId="0" applyFont="1" applyFill="1" applyBorder="1" applyProtection="1">
      <protection hidden="1"/>
    </xf>
    <xf numFmtId="0" fontId="3" fillId="13" borderId="3" xfId="0" applyFont="1" applyFill="1" applyBorder="1" applyAlignment="1" applyProtection="1">
      <alignment horizontal="center"/>
      <protection hidden="1"/>
    </xf>
    <xf numFmtId="0" fontId="3" fillId="13" borderId="16" xfId="0" applyFont="1" applyFill="1" applyBorder="1" applyAlignment="1" applyProtection="1">
      <alignment horizontal="center"/>
      <protection hidden="1"/>
    </xf>
    <xf numFmtId="0" fontId="0" fillId="15" borderId="0" xfId="0" applyFill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Protection="1">
      <protection hidden="1"/>
    </xf>
    <xf numFmtId="3" fontId="4" fillId="13" borderId="0" xfId="0" applyNumberFormat="1" applyFont="1" applyFill="1" applyProtection="1">
      <protection hidden="1"/>
    </xf>
    <xf numFmtId="4" fontId="6" fillId="13" borderId="0" xfId="0" applyNumberFormat="1" applyFont="1" applyFill="1" applyProtection="1">
      <protection hidden="1"/>
    </xf>
    <xf numFmtId="0" fontId="4" fillId="14" borderId="0" xfId="0" applyFont="1" applyFill="1" applyProtection="1">
      <protection locked="0"/>
    </xf>
    <xf numFmtId="9" fontId="4" fillId="14" borderId="0" xfId="0" applyNumberFormat="1" applyFont="1" applyFill="1" applyProtection="1">
      <protection locked="0"/>
    </xf>
    <xf numFmtId="0" fontId="3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4" fillId="16" borderId="0" xfId="0" applyFont="1" applyFill="1" applyProtection="1">
      <protection hidden="1"/>
    </xf>
    <xf numFmtId="0" fontId="3" fillId="16" borderId="11" xfId="0" applyFont="1" applyFill="1" applyBorder="1" applyProtection="1">
      <protection hidden="1"/>
    </xf>
    <xf numFmtId="0" fontId="3" fillId="16" borderId="0" xfId="0" applyFont="1" applyFill="1" applyAlignment="1" applyProtection="1">
      <alignment wrapText="1"/>
      <protection hidden="1"/>
    </xf>
    <xf numFmtId="0" fontId="3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1" xfId="0" applyFont="1" applyFill="1" applyBorder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9" borderId="10" xfId="0" applyFont="1" applyFill="1" applyBorder="1" applyProtection="1">
      <protection hidden="1"/>
    </xf>
    <xf numFmtId="4" fontId="3" fillId="19" borderId="12" xfId="0" applyNumberFormat="1" applyFont="1" applyFill="1" applyBorder="1" applyProtection="1">
      <protection hidden="1"/>
    </xf>
    <xf numFmtId="4" fontId="3" fillId="19" borderId="13" xfId="0" applyNumberFormat="1" applyFont="1" applyFill="1" applyBorder="1" applyProtection="1">
      <protection hidden="1"/>
    </xf>
    <xf numFmtId="2" fontId="3" fillId="19" borderId="12" xfId="0" applyNumberFormat="1" applyFont="1" applyFill="1" applyBorder="1" applyAlignment="1" applyProtection="1">
      <alignment horizontal="right"/>
      <protection hidden="1"/>
    </xf>
    <xf numFmtId="4" fontId="3" fillId="19" borderId="14" xfId="0" applyNumberFormat="1" applyFont="1" applyFill="1" applyBorder="1" applyProtection="1">
      <protection hidden="1"/>
    </xf>
    <xf numFmtId="3" fontId="3" fillId="19" borderId="12" xfId="0" applyNumberFormat="1" applyFont="1" applyFill="1" applyBorder="1" applyProtection="1">
      <protection hidden="1"/>
    </xf>
    <xf numFmtId="3" fontId="4" fillId="19" borderId="12" xfId="0" applyNumberFormat="1" applyFont="1" applyFill="1" applyBorder="1" applyProtection="1">
      <protection hidden="1"/>
    </xf>
    <xf numFmtId="0" fontId="3" fillId="19" borderId="12" xfId="0" applyFont="1" applyFill="1" applyBorder="1" applyProtection="1">
      <protection hidden="1"/>
    </xf>
    <xf numFmtId="0" fontId="3" fillId="19" borderId="12" xfId="0" applyFont="1" applyFill="1" applyBorder="1" applyAlignment="1" applyProtection="1">
      <alignment horizontal="center"/>
      <protection hidden="1"/>
    </xf>
    <xf numFmtId="0" fontId="3" fillId="19" borderId="15" xfId="0" applyFont="1" applyFill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4" fontId="6" fillId="19" borderId="11" xfId="0" applyNumberFormat="1" applyFont="1" applyFill="1" applyBorder="1" applyProtection="1">
      <protection hidden="1"/>
    </xf>
    <xf numFmtId="0" fontId="3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1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1" xfId="0" applyFont="1" applyFill="1" applyBorder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3" fillId="0" borderId="3" xfId="0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right"/>
      <protection hidden="1"/>
    </xf>
    <xf numFmtId="4" fontId="3" fillId="0" borderId="2" xfId="0" applyNumberFormat="1" applyFont="1" applyBorder="1" applyProtection="1">
      <protection hidden="1"/>
    </xf>
    <xf numFmtId="3" fontId="3" fillId="0" borderId="3" xfId="0" applyNumberFormat="1" applyFont="1" applyBorder="1" applyProtection="1">
      <protection hidden="1"/>
    </xf>
    <xf numFmtId="3" fontId="4" fillId="0" borderId="3" xfId="0" applyNumberFormat="1" applyFont="1" applyBorder="1" applyProtection="1"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16" xfId="0" applyFont="1" applyBorder="1" applyAlignment="1" applyProtection="1">
      <alignment horizontal="right"/>
      <protection hidden="1"/>
    </xf>
    <xf numFmtId="0" fontId="3" fillId="0" borderId="12" xfId="0" applyFont="1" applyBorder="1" applyProtection="1">
      <protection hidden="1"/>
    </xf>
    <xf numFmtId="4" fontId="3" fillId="0" borderId="12" xfId="0" applyNumberFormat="1" applyFont="1" applyBorder="1" applyProtection="1">
      <protection hidden="1"/>
    </xf>
    <xf numFmtId="4" fontId="3" fillId="0" borderId="13" xfId="0" applyNumberFormat="1" applyFont="1" applyBorder="1" applyProtection="1">
      <protection hidden="1"/>
    </xf>
    <xf numFmtId="2" fontId="3" fillId="0" borderId="12" xfId="0" applyNumberFormat="1" applyFont="1" applyBorder="1" applyAlignment="1" applyProtection="1">
      <alignment horizontal="right"/>
      <protection hidden="1"/>
    </xf>
    <xf numFmtId="4" fontId="3" fillId="0" borderId="14" xfId="0" applyNumberFormat="1" applyFont="1" applyBorder="1" applyProtection="1">
      <protection hidden="1"/>
    </xf>
    <xf numFmtId="3" fontId="3" fillId="0" borderId="12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0" fontId="3" fillId="0" borderId="12" xfId="0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3" fillId="3" borderId="18" xfId="0" applyFont="1" applyFill="1" applyBorder="1" applyAlignment="1" applyProtection="1">
      <alignment horizontal="center" wrapText="1"/>
      <protection hidden="1"/>
    </xf>
    <xf numFmtId="0" fontId="5" fillId="3" borderId="19" xfId="0" applyFont="1" applyFill="1" applyBorder="1" applyAlignment="1" applyProtection="1">
      <alignment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3" fillId="3" borderId="20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3" fillId="0" borderId="5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4" fontId="6" fillId="0" borderId="0" xfId="0" applyNumberFormat="1" applyFont="1" applyProtection="1">
      <protection hidden="1"/>
    </xf>
    <xf numFmtId="4" fontId="6" fillId="0" borderId="11" xfId="0" applyNumberFormat="1" applyFont="1" applyBorder="1" applyProtection="1">
      <protection hidden="1"/>
    </xf>
    <xf numFmtId="0" fontId="3" fillId="3" borderId="21" xfId="0" applyFont="1" applyFill="1" applyBorder="1" applyAlignment="1" applyProtection="1">
      <alignment horizontal="center" wrapText="1"/>
      <protection hidden="1"/>
    </xf>
    <xf numFmtId="0" fontId="3" fillId="0" borderId="2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13" borderId="22" xfId="0" applyFont="1" applyFill="1" applyBorder="1" applyProtection="1">
      <protection hidden="1"/>
    </xf>
    <xf numFmtId="0" fontId="3" fillId="19" borderId="14" xfId="0" applyFont="1" applyFill="1" applyBorder="1" applyProtection="1">
      <protection hidden="1"/>
    </xf>
    <xf numFmtId="0" fontId="3" fillId="0" borderId="23" xfId="0" applyFont="1" applyBorder="1" applyProtection="1">
      <protection hidden="1"/>
    </xf>
    <xf numFmtId="0" fontId="3" fillId="0" borderId="24" xfId="0" applyFont="1" applyBorder="1" applyProtection="1">
      <protection hidden="1"/>
    </xf>
    <xf numFmtId="4" fontId="3" fillId="0" borderId="25" xfId="0" applyNumberFormat="1" applyFont="1" applyBorder="1" applyProtection="1">
      <protection hidden="1"/>
    </xf>
    <xf numFmtId="4" fontId="3" fillId="0" borderId="26" xfId="0" applyNumberFormat="1" applyFont="1" applyBorder="1" applyProtection="1">
      <protection hidden="1"/>
    </xf>
    <xf numFmtId="2" fontId="3" fillId="0" borderId="25" xfId="0" applyNumberFormat="1" applyFont="1" applyBorder="1" applyAlignment="1" applyProtection="1">
      <alignment horizontal="right"/>
      <protection hidden="1"/>
    </xf>
    <xf numFmtId="4" fontId="3" fillId="0" borderId="24" xfId="0" applyNumberFormat="1" applyFont="1" applyBorder="1" applyProtection="1">
      <protection hidden="1"/>
    </xf>
    <xf numFmtId="3" fontId="3" fillId="0" borderId="25" xfId="0" applyNumberFormat="1" applyFont="1" applyBorder="1" applyProtection="1">
      <protection hidden="1"/>
    </xf>
    <xf numFmtId="3" fontId="4" fillId="0" borderId="25" xfId="0" applyNumberFormat="1" applyFont="1" applyBorder="1" applyProtection="1">
      <protection hidden="1"/>
    </xf>
    <xf numFmtId="0" fontId="3" fillId="0" borderId="25" xfId="0" applyFont="1" applyBorder="1" applyProtection="1">
      <protection hidden="1"/>
    </xf>
    <xf numFmtId="0" fontId="3" fillId="0" borderId="25" xfId="0" applyFont="1" applyBorder="1" applyAlignment="1" applyProtection="1">
      <alignment horizontal="right"/>
      <protection hidden="1"/>
    </xf>
    <xf numFmtId="0" fontId="3" fillId="0" borderId="27" xfId="0" applyFont="1" applyBorder="1" applyAlignment="1" applyProtection="1">
      <alignment horizontal="right"/>
      <protection hidden="1"/>
    </xf>
    <xf numFmtId="0" fontId="3" fillId="22" borderId="0" xfId="0" applyFont="1" applyFill="1" applyProtection="1">
      <protection hidden="1"/>
    </xf>
    <xf numFmtId="0" fontId="4" fillId="22" borderId="0" xfId="0" applyFont="1" applyFill="1" applyProtection="1">
      <protection hidden="1"/>
    </xf>
    <xf numFmtId="0" fontId="3" fillId="22" borderId="11" xfId="0" applyFont="1" applyFill="1" applyBorder="1" applyProtection="1">
      <protection hidden="1"/>
    </xf>
    <xf numFmtId="0" fontId="3" fillId="22" borderId="0" xfId="0" applyFont="1" applyFill="1" applyAlignment="1" applyProtection="1">
      <alignment wrapText="1"/>
      <protection hidden="1"/>
    </xf>
    <xf numFmtId="0" fontId="1" fillId="0" borderId="1" xfId="0" applyFont="1" applyBorder="1"/>
    <xf numFmtId="1" fontId="0" fillId="0" borderId="1" xfId="0" applyNumberFormat="1" applyBorder="1"/>
    <xf numFmtId="0" fontId="3" fillId="0" borderId="28" xfId="0" applyFont="1" applyBorder="1" applyProtection="1">
      <protection hidden="1"/>
    </xf>
    <xf numFmtId="0" fontId="3" fillId="0" borderId="22" xfId="0" applyFont="1" applyBorder="1" applyProtection="1">
      <protection hidden="1"/>
    </xf>
    <xf numFmtId="4" fontId="3" fillId="0" borderId="29" xfId="0" applyNumberFormat="1" applyFont="1" applyBorder="1" applyProtection="1">
      <protection hidden="1"/>
    </xf>
    <xf numFmtId="2" fontId="3" fillId="0" borderId="29" xfId="0" applyNumberFormat="1" applyFont="1" applyBorder="1" applyAlignment="1" applyProtection="1">
      <alignment horizontal="right"/>
      <protection hidden="1"/>
    </xf>
    <xf numFmtId="4" fontId="3" fillId="0" borderId="22" xfId="0" applyNumberFormat="1" applyFont="1" applyBorder="1" applyProtection="1">
      <protection hidden="1"/>
    </xf>
    <xf numFmtId="3" fontId="3" fillId="0" borderId="29" xfId="0" applyNumberFormat="1" applyFont="1" applyBorder="1" applyProtection="1">
      <protection hidden="1"/>
    </xf>
    <xf numFmtId="3" fontId="4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0" fillId="23" borderId="1" xfId="0" applyFill="1" applyBorder="1"/>
    <xf numFmtId="0" fontId="3" fillId="24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3" fillId="24" borderId="11" xfId="0" applyFont="1" applyFill="1" applyBorder="1" applyProtection="1">
      <protection hidden="1"/>
    </xf>
    <xf numFmtId="0" fontId="3" fillId="24" borderId="0" xfId="0" applyFont="1" applyFill="1" applyAlignment="1" applyProtection="1">
      <alignment wrapText="1"/>
      <protection hidden="1"/>
    </xf>
    <xf numFmtId="2" fontId="0" fillId="0" borderId="1" xfId="0" applyNumberFormat="1" applyBorder="1"/>
    <xf numFmtId="0" fontId="12" fillId="0" borderId="1" xfId="0" applyFont="1" applyBorder="1"/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1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3" fontId="3" fillId="23" borderId="13" xfId="0" applyNumberFormat="1" applyFont="1" applyFill="1" applyBorder="1" applyProtection="1">
      <protection hidden="1"/>
    </xf>
    <xf numFmtId="3" fontId="3" fillId="23" borderId="14" xfId="0" applyNumberFormat="1" applyFont="1" applyFill="1" applyBorder="1" applyProtection="1">
      <protection hidden="1"/>
    </xf>
    <xf numFmtId="3" fontId="3" fillId="23" borderId="29" xfId="0" applyNumberFormat="1" applyFont="1" applyFill="1" applyBorder="1" applyProtection="1">
      <protection hidden="1"/>
    </xf>
    <xf numFmtId="3" fontId="3" fillId="23" borderId="3" xfId="0" applyNumberFormat="1" applyFont="1" applyFill="1" applyBorder="1" applyProtection="1">
      <protection hidden="1"/>
    </xf>
    <xf numFmtId="3" fontId="3" fillId="23" borderId="31" xfId="0" applyNumberFormat="1" applyFont="1" applyFill="1" applyBorder="1" applyProtection="1">
      <protection hidden="1"/>
    </xf>
    <xf numFmtId="3" fontId="3" fillId="23" borderId="22" xfId="0" applyNumberFormat="1" applyFont="1" applyFill="1" applyBorder="1" applyProtection="1">
      <protection hidden="1"/>
    </xf>
    <xf numFmtId="3" fontId="3" fillId="23" borderId="12" xfId="0" applyNumberFormat="1" applyFont="1" applyFill="1" applyBorder="1" applyProtection="1">
      <protection hidden="1"/>
    </xf>
    <xf numFmtId="3" fontId="3" fillId="23" borderId="32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2" xfId="0" applyNumberFormat="1" applyFont="1" applyBorder="1" applyProtection="1">
      <protection hidden="1"/>
    </xf>
    <xf numFmtId="0" fontId="3" fillId="0" borderId="13" xfId="0" applyFont="1" applyBorder="1" applyProtection="1">
      <protection hidden="1"/>
    </xf>
    <xf numFmtId="3" fontId="3" fillId="23" borderId="11" xfId="0" applyNumberFormat="1" applyFont="1" applyFill="1" applyBorder="1" applyProtection="1">
      <protection hidden="1"/>
    </xf>
    <xf numFmtId="3" fontId="3" fillId="0" borderId="32" xfId="0" applyNumberFormat="1" applyFont="1" applyBorder="1" applyProtection="1">
      <protection hidden="1"/>
    </xf>
    <xf numFmtId="3" fontId="3" fillId="0" borderId="13" xfId="0" applyNumberFormat="1" applyFont="1" applyBorder="1" applyProtection="1">
      <protection hidden="1"/>
    </xf>
    <xf numFmtId="3" fontId="3" fillId="0" borderId="14" xfId="0" applyNumberFormat="1" applyFont="1" applyBorder="1" applyProtection="1">
      <protection hidden="1"/>
    </xf>
    <xf numFmtId="3" fontId="3" fillId="0" borderId="31" xfId="0" applyNumberFormat="1" applyFont="1" applyBorder="1" applyProtection="1">
      <protection hidden="1"/>
    </xf>
    <xf numFmtId="3" fontId="3" fillId="0" borderId="22" xfId="0" applyNumberFormat="1" applyFont="1" applyBorder="1" applyProtection="1">
      <protection hidden="1"/>
    </xf>
    <xf numFmtId="0" fontId="3" fillId="13" borderId="9" xfId="0" applyFont="1" applyFill="1" applyBorder="1"/>
    <xf numFmtId="0" fontId="3" fillId="13" borderId="6" xfId="0" applyFont="1" applyFill="1" applyBorder="1"/>
    <xf numFmtId="0" fontId="3" fillId="13" borderId="17" xfId="0" applyFont="1" applyFill="1" applyBorder="1"/>
    <xf numFmtId="0" fontId="11" fillId="3" borderId="7" xfId="0" applyFont="1" applyFill="1" applyBorder="1"/>
    <xf numFmtId="0" fontId="3" fillId="3" borderId="9" xfId="0" applyFont="1" applyFill="1" applyBorder="1"/>
    <xf numFmtId="0" fontId="10" fillId="13" borderId="5" xfId="0" applyFont="1" applyFill="1" applyBorder="1"/>
    <xf numFmtId="0" fontId="10" fillId="13" borderId="10" xfId="0" applyFont="1" applyFill="1" applyBorder="1"/>
    <xf numFmtId="0" fontId="3" fillId="13" borderId="7" xfId="0" applyFont="1" applyFill="1" applyBorder="1"/>
    <xf numFmtId="17" fontId="3" fillId="20" borderId="5" xfId="0" applyNumberFormat="1" applyFont="1" applyFill="1" applyBorder="1"/>
    <xf numFmtId="0" fontId="3" fillId="20" borderId="6" xfId="0" applyFont="1" applyFill="1" applyBorder="1"/>
    <xf numFmtId="0" fontId="3" fillId="24" borderId="5" xfId="0" applyFont="1" applyFill="1" applyBorder="1"/>
    <xf numFmtId="0" fontId="3" fillId="24" borderId="6" xfId="0" applyFont="1" applyFill="1" applyBorder="1"/>
    <xf numFmtId="17" fontId="3" fillId="22" borderId="5" xfId="0" applyNumberFormat="1" applyFont="1" applyFill="1" applyBorder="1"/>
    <xf numFmtId="0" fontId="3" fillId="22" borderId="6" xfId="0" applyFont="1" applyFill="1" applyBorder="1"/>
    <xf numFmtId="17" fontId="3" fillId="21" borderId="5" xfId="0" applyNumberFormat="1" applyFont="1" applyFill="1" applyBorder="1"/>
    <xf numFmtId="0" fontId="3" fillId="21" borderId="6" xfId="0" applyFont="1" applyFill="1" applyBorder="1"/>
    <xf numFmtId="17" fontId="3" fillId="18" borderId="5" xfId="0" applyNumberFormat="1" applyFont="1" applyFill="1" applyBorder="1"/>
    <xf numFmtId="0" fontId="3" fillId="18" borderId="6" xfId="0" applyFont="1" applyFill="1" applyBorder="1"/>
    <xf numFmtId="17" fontId="3" fillId="16" borderId="5" xfId="0" applyNumberFormat="1" applyFont="1" applyFill="1" applyBorder="1"/>
    <xf numFmtId="0" fontId="3" fillId="16" borderId="6" xfId="0" applyFont="1" applyFill="1" applyBorder="1"/>
    <xf numFmtId="17" fontId="3" fillId="17" borderId="10" xfId="0" applyNumberFormat="1" applyFont="1" applyFill="1" applyBorder="1"/>
    <xf numFmtId="0" fontId="3" fillId="17" borderId="17" xfId="0" applyFont="1" applyFill="1" applyBorder="1"/>
    <xf numFmtId="2" fontId="13" fillId="0" borderId="1" xfId="0" applyNumberFormat="1" applyFont="1" applyBorder="1"/>
    <xf numFmtId="0" fontId="13" fillId="0" borderId="1" xfId="0" applyFont="1" applyBorder="1"/>
    <xf numFmtId="2" fontId="0" fillId="0" borderId="0" xfId="0" applyNumberFormat="1"/>
    <xf numFmtId="0" fontId="5" fillId="3" borderId="33" xfId="0" applyFont="1" applyFill="1" applyBorder="1" applyAlignment="1" applyProtection="1">
      <alignment wrapText="1"/>
      <protection hidden="1"/>
    </xf>
    <xf numFmtId="0" fontId="5" fillId="23" borderId="1" xfId="0" applyFont="1" applyFill="1" applyBorder="1" applyAlignment="1" applyProtection="1">
      <alignment wrapText="1"/>
      <protection hidden="1"/>
    </xf>
    <xf numFmtId="0" fontId="4" fillId="23" borderId="1" xfId="0" applyFont="1" applyFill="1" applyBorder="1" applyAlignment="1" applyProtection="1">
      <alignment wrapText="1"/>
      <protection hidden="1"/>
    </xf>
    <xf numFmtId="0" fontId="3" fillId="23" borderId="1" xfId="0" applyFont="1" applyFill="1" applyBorder="1" applyAlignment="1" applyProtection="1">
      <alignment horizontal="center" wrapText="1"/>
      <protection hidden="1"/>
    </xf>
    <xf numFmtId="0" fontId="4" fillId="23" borderId="1" xfId="0" applyFont="1" applyFill="1" applyBorder="1" applyAlignment="1" applyProtection="1">
      <alignment horizontal="center" wrapText="1"/>
      <protection hidden="1"/>
    </xf>
    <xf numFmtId="0" fontId="3" fillId="25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3" fillId="25" borderId="11" xfId="0" applyFont="1" applyFill="1" applyBorder="1" applyProtection="1">
      <protection hidden="1"/>
    </xf>
    <xf numFmtId="0" fontId="3" fillId="25" borderId="0" xfId="0" applyFont="1" applyFill="1" applyAlignment="1" applyProtection="1">
      <alignment wrapText="1"/>
      <protection hidden="1"/>
    </xf>
    <xf numFmtId="0" fontId="3" fillId="26" borderId="0" xfId="0" applyFont="1" applyFill="1" applyProtection="1">
      <protection hidden="1"/>
    </xf>
    <xf numFmtId="0" fontId="4" fillId="26" borderId="0" xfId="0" applyFont="1" applyFill="1" applyProtection="1">
      <protection hidden="1"/>
    </xf>
    <xf numFmtId="0" fontId="3" fillId="26" borderId="11" xfId="0" applyFont="1" applyFill="1" applyBorder="1" applyProtection="1">
      <protection hidden="1"/>
    </xf>
    <xf numFmtId="0" fontId="3" fillId="26" borderId="0" xfId="0" applyFont="1" applyFill="1" applyAlignment="1" applyProtection="1">
      <alignment wrapText="1"/>
      <protection hidden="1"/>
    </xf>
    <xf numFmtId="17" fontId="3" fillId="26" borderId="5" xfId="0" applyNumberFormat="1" applyFont="1" applyFill="1" applyBorder="1"/>
    <xf numFmtId="0" fontId="3" fillId="26" borderId="6" xfId="0" applyFont="1" applyFill="1" applyBorder="1"/>
    <xf numFmtId="0" fontId="3" fillId="25" borderId="5" xfId="0" applyFont="1" applyFill="1" applyBorder="1"/>
    <xf numFmtId="0" fontId="3" fillId="25" borderId="6" xfId="0" applyFont="1" applyFill="1" applyBorder="1"/>
    <xf numFmtId="0" fontId="12" fillId="0" borderId="0" xfId="0" applyFont="1" applyAlignment="1">
      <alignment horizontal="center"/>
    </xf>
    <xf numFmtId="3" fontId="3" fillId="0" borderId="4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1" fillId="2" borderId="0" xfId="0" applyFont="1" applyFill="1" applyAlignment="1">
      <alignment horizontal="center" wrapText="1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1" xfId="0" applyFont="1" applyFill="1" applyBorder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7" borderId="5" xfId="0" applyFont="1" applyFill="1" applyBorder="1"/>
    <xf numFmtId="0" fontId="3" fillId="27" borderId="6" xfId="0" applyFont="1" applyFill="1" applyBorder="1"/>
    <xf numFmtId="0" fontId="16" fillId="0" borderId="1" xfId="1" applyBorder="1" applyAlignment="1">
      <alignment horizontal="left"/>
    </xf>
    <xf numFmtId="2" fontId="17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1" xfId="0" applyFont="1" applyFill="1" applyBorder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28" borderId="5" xfId="0" applyFont="1" applyFill="1" applyBorder="1"/>
    <xf numFmtId="0" fontId="3" fillId="28" borderId="6" xfId="0" applyFont="1" applyFill="1" applyBorder="1"/>
    <xf numFmtId="0" fontId="12" fillId="0" borderId="1" xfId="2" applyFont="1" applyBorder="1"/>
    <xf numFmtId="14" fontId="12" fillId="0" borderId="1" xfId="2" applyNumberFormat="1" applyFont="1" applyBorder="1"/>
    <xf numFmtId="14" fontId="12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2" fontId="12" fillId="0" borderId="1" xfId="2" applyNumberFormat="1" applyFont="1" applyBorder="1"/>
    <xf numFmtId="2" fontId="13" fillId="0" borderId="1" xfId="2" applyNumberFormat="1" applyFont="1" applyBorder="1"/>
    <xf numFmtId="1" fontId="12" fillId="0" borderId="1" xfId="2" applyNumberFormat="1" applyFont="1" applyBorder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0" xfId="2" applyFont="1"/>
    <xf numFmtId="2" fontId="12" fillId="0" borderId="1" xfId="2" applyNumberFormat="1" applyFont="1" applyBorder="1" applyAlignment="1">
      <alignment horizontal="center"/>
    </xf>
    <xf numFmtId="0" fontId="3" fillId="16" borderId="5" xfId="0" applyFont="1" applyFill="1" applyBorder="1"/>
    <xf numFmtId="0" fontId="3" fillId="20" borderId="5" xfId="0" applyFont="1" applyFill="1" applyBorder="1"/>
    <xf numFmtId="14" fontId="12" fillId="29" borderId="1" xfId="0" applyNumberFormat="1" applyFont="1" applyFill="1" applyBorder="1"/>
    <xf numFmtId="0" fontId="13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right"/>
    </xf>
    <xf numFmtId="0" fontId="12" fillId="0" borderId="0" xfId="0" applyFont="1"/>
    <xf numFmtId="2" fontId="12" fillId="0" borderId="1" xfId="0" applyNumberFormat="1" applyFont="1" applyBorder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0" fontId="3" fillId="30" borderId="5" xfId="0" applyFont="1" applyFill="1" applyBorder="1"/>
    <xf numFmtId="0" fontId="3" fillId="30" borderId="6" xfId="0" applyFont="1" applyFill="1" applyBorder="1"/>
    <xf numFmtId="0" fontId="0" fillId="11" borderId="2" xfId="0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righ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3" fillId="13" borderId="0" xfId="0" applyFont="1" applyFill="1" applyBorder="1" applyProtection="1">
      <protection hidden="1"/>
    </xf>
    <xf numFmtId="0" fontId="4" fillId="14" borderId="0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wrapText="1"/>
      <protection hidden="1"/>
    </xf>
    <xf numFmtId="3" fontId="4" fillId="0" borderId="30" xfId="0" applyNumberFormat="1" applyFont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4" fillId="0" borderId="15" xfId="0" applyNumberFormat="1" applyFont="1" applyBorder="1" applyProtection="1">
      <protection hidden="1"/>
    </xf>
    <xf numFmtId="4" fontId="3" fillId="13" borderId="0" xfId="0" applyNumberFormat="1" applyFont="1" applyFill="1" applyBorder="1" applyProtection="1">
      <protection hidden="1"/>
    </xf>
    <xf numFmtId="3" fontId="4" fillId="13" borderId="0" xfId="0" applyNumberFormat="1" applyFont="1" applyFill="1" applyBorder="1" applyProtection="1">
      <protection hidden="1"/>
    </xf>
    <xf numFmtId="9" fontId="4" fillId="14" borderId="0" xfId="0" applyNumberFormat="1" applyFont="1" applyFill="1" applyBorder="1" applyProtection="1">
      <protection locked="0"/>
    </xf>
    <xf numFmtId="0" fontId="10" fillId="13" borderId="7" xfId="0" applyFont="1" applyFill="1" applyBorder="1"/>
  </cellXfs>
  <cellStyles count="3">
    <cellStyle name="Hyperlink" xfId="1" builtinId="8"/>
    <cellStyle name="Normal" xfId="0" builtinId="0"/>
    <cellStyle name="Normal 2" xfId="2" xr:uid="{69525F0B-986A-FF4A-9F64-75FE59089EF4}"/>
  </cellStyles>
  <dxfs count="0"/>
  <tableStyles count="0" defaultTableStyle="TableStyleMedium9" defaultPivotStyle="PivotStyleMedium7"/>
  <colors>
    <mruColors>
      <color rgb="FFCD7B93"/>
      <color rgb="FFFFA9A6"/>
      <color rgb="FFFF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5</xdr:col>
      <xdr:colOff>876300</xdr:colOff>
      <xdr:row>48</xdr:row>
      <xdr:rowOff>81400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5956300" cy="3650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1103554</xdr:colOff>
      <xdr:row>8</xdr:row>
      <xdr:rowOff>63500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hyperlink" Target="https://www.energymadeeasy.gov.au/plan?id=FXP13753MBE1&amp;postcode=7000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F19" sqref="F19"/>
    </sheetView>
  </sheetViews>
  <sheetFormatPr baseColWidth="10" defaultRowHeight="14" x14ac:dyDescent="0.15"/>
  <cols>
    <col min="1" max="2" width="10.83203125" style="29"/>
    <col min="3" max="3" width="16" style="29" customWidth="1"/>
    <col min="4" max="4" width="18.1640625" style="29" customWidth="1"/>
    <col min="5" max="5" width="10.83203125" style="29"/>
    <col min="6" max="6" width="23.6640625" style="29" customWidth="1"/>
    <col min="7" max="8" width="10.83203125" style="29"/>
    <col min="9" max="9" width="16" style="29" customWidth="1"/>
    <col min="10" max="13" width="10.83203125" style="29"/>
    <col min="14" max="14" width="14.6640625" style="29" customWidth="1"/>
    <col min="15" max="16" width="10.83203125" style="29"/>
    <col min="17" max="17" width="16" style="29" customWidth="1"/>
    <col min="18" max="18" width="17" style="29" customWidth="1"/>
    <col min="19" max="16384" width="10.83203125" style="29"/>
  </cols>
  <sheetData>
    <row r="1" spans="1:18" x14ac:dyDescent="0.15">
      <c r="A1" s="32" t="s">
        <v>249</v>
      </c>
    </row>
    <row r="2" spans="1:18" ht="15" thickBot="1" x14ac:dyDescent="0.2">
      <c r="A2" s="33" t="s">
        <v>101</v>
      </c>
      <c r="B2" s="33"/>
      <c r="C2" s="33"/>
    </row>
    <row r="3" spans="1:18" x14ac:dyDescent="0.15">
      <c r="A3" s="33" t="s">
        <v>43</v>
      </c>
      <c r="B3" s="33"/>
      <c r="C3" s="33"/>
      <c r="J3" s="34" t="s">
        <v>102</v>
      </c>
      <c r="K3" s="28"/>
      <c r="L3" s="28"/>
      <c r="M3" s="28"/>
      <c r="N3" s="35"/>
      <c r="O3" s="35"/>
      <c r="P3" s="35"/>
      <c r="Q3" s="28"/>
      <c r="R3" s="205"/>
    </row>
    <row r="4" spans="1:18" x14ac:dyDescent="0.15">
      <c r="J4" s="30" t="s">
        <v>103</v>
      </c>
      <c r="R4" s="206"/>
    </row>
    <row r="5" spans="1:18" x14ac:dyDescent="0.15">
      <c r="A5" s="36" t="s">
        <v>273</v>
      </c>
      <c r="F5" s="37"/>
      <c r="G5" s="37"/>
      <c r="H5" s="37"/>
      <c r="I5" s="37"/>
      <c r="J5" s="30" t="s">
        <v>14</v>
      </c>
      <c r="R5" s="206"/>
    </row>
    <row r="6" spans="1:18" x14ac:dyDescent="0.15">
      <c r="A6" s="29" t="s">
        <v>15</v>
      </c>
      <c r="F6" s="37"/>
      <c r="G6" s="37"/>
      <c r="H6" s="37"/>
      <c r="I6" s="37"/>
      <c r="J6" s="30" t="s">
        <v>16</v>
      </c>
      <c r="R6" s="206"/>
    </row>
    <row r="7" spans="1:18" x14ac:dyDescent="0.15">
      <c r="A7" s="29" t="s">
        <v>44</v>
      </c>
      <c r="F7" s="37"/>
      <c r="G7" s="37"/>
      <c r="H7" s="37"/>
      <c r="I7" s="37"/>
      <c r="J7" s="30" t="s">
        <v>47</v>
      </c>
      <c r="N7" s="37"/>
      <c r="O7" s="37"/>
      <c r="P7" s="37"/>
      <c r="R7" s="206"/>
    </row>
    <row r="8" spans="1:18" x14ac:dyDescent="0.15">
      <c r="F8" s="37"/>
      <c r="G8" s="37"/>
      <c r="H8" s="38"/>
      <c r="I8" s="37"/>
      <c r="J8" s="30" t="s">
        <v>0</v>
      </c>
      <c r="N8" s="37"/>
      <c r="O8" s="37"/>
      <c r="P8" s="37"/>
      <c r="R8" s="206"/>
    </row>
    <row r="9" spans="1:18" x14ac:dyDescent="0.15">
      <c r="A9" s="39"/>
      <c r="F9" s="37"/>
      <c r="G9" s="37"/>
      <c r="H9" s="37"/>
      <c r="I9" s="37"/>
      <c r="J9" s="30" t="s">
        <v>1</v>
      </c>
      <c r="N9" s="37"/>
      <c r="O9" s="37"/>
      <c r="P9" s="37"/>
      <c r="R9" s="206"/>
    </row>
    <row r="10" spans="1:18" x14ac:dyDescent="0.15">
      <c r="A10" s="36" t="s">
        <v>2</v>
      </c>
      <c r="F10" s="37"/>
      <c r="G10" s="37"/>
      <c r="I10" s="37"/>
      <c r="J10" s="30" t="s">
        <v>3</v>
      </c>
      <c r="N10" s="40"/>
      <c r="O10" s="40"/>
      <c r="P10" s="40"/>
      <c r="R10" s="206"/>
    </row>
    <row r="11" spans="1:18" ht="15" thickBot="1" x14ac:dyDescent="0.2">
      <c r="A11" s="29" t="s">
        <v>218</v>
      </c>
      <c r="F11" s="37"/>
      <c r="G11" s="37"/>
      <c r="I11" s="37"/>
      <c r="J11" s="41" t="s">
        <v>4</v>
      </c>
      <c r="K11" s="42"/>
      <c r="L11" s="42"/>
      <c r="M11" s="42"/>
      <c r="N11" s="43"/>
      <c r="O11" s="43"/>
      <c r="P11" s="43"/>
      <c r="Q11" s="42"/>
      <c r="R11" s="207"/>
    </row>
    <row r="12" spans="1:18" x14ac:dyDescent="0.15">
      <c r="A12" s="29" t="s">
        <v>319</v>
      </c>
      <c r="F12" s="37"/>
      <c r="G12" s="37"/>
      <c r="I12" s="37"/>
    </row>
    <row r="13" spans="1:18" ht="15" thickBot="1" x14ac:dyDescent="0.2">
      <c r="A13" s="29" t="s">
        <v>5</v>
      </c>
      <c r="F13" s="37"/>
      <c r="G13" s="37"/>
      <c r="I13" s="37"/>
    </row>
    <row r="14" spans="1:18" ht="15" thickBot="1" x14ac:dyDescent="0.2">
      <c r="F14" s="37"/>
      <c r="G14" s="37"/>
      <c r="H14" s="37"/>
      <c r="I14" s="37"/>
      <c r="J14" s="208" t="s">
        <v>46</v>
      </c>
      <c r="K14" s="209"/>
    </row>
    <row r="15" spans="1:18" x14ac:dyDescent="0.15">
      <c r="A15" s="29" t="s">
        <v>6</v>
      </c>
      <c r="F15" s="37"/>
      <c r="G15" s="37"/>
      <c r="H15" s="37"/>
      <c r="I15" s="37"/>
      <c r="J15" s="307" t="s">
        <v>207</v>
      </c>
      <c r="K15" s="205"/>
    </row>
    <row r="16" spans="1:18" x14ac:dyDescent="0.15">
      <c r="A16" s="29" t="s">
        <v>7</v>
      </c>
      <c r="E16" s="44"/>
      <c r="F16" s="37"/>
      <c r="G16" s="37"/>
      <c r="H16" s="37"/>
      <c r="I16" s="37"/>
      <c r="J16" s="210" t="s">
        <v>223</v>
      </c>
      <c r="K16" s="206"/>
    </row>
    <row r="17" spans="1:12" x14ac:dyDescent="0.15">
      <c r="A17" s="37"/>
      <c r="F17" s="37"/>
      <c r="G17" s="37"/>
      <c r="H17" s="37"/>
      <c r="I17" s="37"/>
      <c r="J17" s="210" t="s">
        <v>274</v>
      </c>
      <c r="K17" s="206"/>
    </row>
    <row r="18" spans="1:12" ht="15" thickBot="1" x14ac:dyDescent="0.2">
      <c r="A18" s="29" t="s">
        <v>37</v>
      </c>
      <c r="F18" s="37"/>
      <c r="G18" s="37"/>
      <c r="H18" s="37"/>
      <c r="I18" s="37"/>
      <c r="J18" s="211" t="s">
        <v>280</v>
      </c>
      <c r="K18" s="207"/>
      <c r="L18" s="37"/>
    </row>
    <row r="19" spans="1:12" x14ac:dyDescent="0.15">
      <c r="A19" s="29" t="s">
        <v>38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pans="1:12" x14ac:dyDescent="0.15">
      <c r="A20" s="29" t="s">
        <v>39</v>
      </c>
      <c r="F20" s="37"/>
      <c r="G20" s="37"/>
      <c r="H20" s="37"/>
      <c r="I20" s="37"/>
      <c r="J20" s="37"/>
      <c r="K20" s="37"/>
      <c r="L20" s="37"/>
    </row>
    <row r="21" spans="1:12" ht="15" thickBot="1" x14ac:dyDescent="0.2">
      <c r="A21" s="29" t="s">
        <v>45</v>
      </c>
      <c r="F21" s="37"/>
      <c r="G21" s="37"/>
      <c r="H21" s="37"/>
      <c r="I21" s="37"/>
      <c r="J21" s="37"/>
      <c r="K21" s="37"/>
    </row>
    <row r="22" spans="1:12" x14ac:dyDescent="0.15">
      <c r="A22" s="29" t="s">
        <v>40</v>
      </c>
      <c r="F22" s="37"/>
      <c r="G22" s="37"/>
      <c r="H22" s="37"/>
      <c r="I22" s="37"/>
      <c r="J22" s="212" t="s">
        <v>132</v>
      </c>
      <c r="K22" s="205"/>
    </row>
    <row r="23" spans="1:12" x14ac:dyDescent="0.15">
      <c r="B23" s="37"/>
      <c r="C23" s="37"/>
      <c r="D23" s="37"/>
      <c r="E23" s="37"/>
      <c r="F23" s="37"/>
      <c r="G23" s="37"/>
      <c r="H23" s="37"/>
      <c r="I23" s="37"/>
      <c r="J23" s="245" t="s">
        <v>133</v>
      </c>
      <c r="K23" s="246">
        <v>2023</v>
      </c>
    </row>
    <row r="24" spans="1:12" x14ac:dyDescent="0.15">
      <c r="A24" s="29" t="s">
        <v>41</v>
      </c>
      <c r="B24" s="37"/>
      <c r="C24" s="37"/>
      <c r="D24" s="37"/>
      <c r="E24" s="37"/>
      <c r="F24" s="37"/>
      <c r="G24" s="37"/>
      <c r="H24" s="37"/>
      <c r="I24" s="37"/>
      <c r="J24" s="285" t="s">
        <v>161</v>
      </c>
      <c r="K24" s="214">
        <v>2022</v>
      </c>
    </row>
    <row r="25" spans="1:12" x14ac:dyDescent="0.15">
      <c r="A25" s="29" t="s">
        <v>42</v>
      </c>
      <c r="B25" s="37"/>
      <c r="C25" s="37"/>
      <c r="D25" s="37"/>
      <c r="E25" s="37"/>
      <c r="F25" s="37"/>
      <c r="G25" s="37"/>
      <c r="H25" s="37"/>
      <c r="I25" s="37"/>
      <c r="J25" s="284" t="s">
        <v>133</v>
      </c>
      <c r="K25" s="224">
        <v>2022</v>
      </c>
    </row>
    <row r="26" spans="1:12" x14ac:dyDescent="0.15">
      <c r="B26" s="37"/>
      <c r="C26" s="37"/>
      <c r="D26" s="37"/>
      <c r="E26" s="37"/>
      <c r="F26" s="37"/>
      <c r="G26" s="37"/>
      <c r="H26" s="37"/>
      <c r="I26" s="37"/>
      <c r="J26" s="270" t="s">
        <v>161</v>
      </c>
      <c r="K26" s="271">
        <v>2021</v>
      </c>
    </row>
    <row r="27" spans="1:12" x14ac:dyDescent="0.15">
      <c r="E27" s="37"/>
      <c r="F27" s="37"/>
      <c r="G27" s="37"/>
      <c r="H27" s="37"/>
      <c r="I27" s="37"/>
      <c r="J27" s="255" t="s">
        <v>133</v>
      </c>
      <c r="K27" s="256">
        <v>2021</v>
      </c>
    </row>
    <row r="28" spans="1:12" x14ac:dyDescent="0.15">
      <c r="E28" s="37"/>
      <c r="F28" s="37"/>
      <c r="G28" s="37"/>
      <c r="H28" s="37"/>
      <c r="I28" s="37"/>
      <c r="J28" s="292" t="s">
        <v>161</v>
      </c>
      <c r="K28" s="293">
        <v>2020</v>
      </c>
    </row>
    <row r="29" spans="1:12" x14ac:dyDescent="0.15">
      <c r="E29" s="37"/>
      <c r="F29" s="37"/>
      <c r="G29" s="37"/>
      <c r="H29" s="37"/>
      <c r="I29" s="37"/>
      <c r="J29" s="243" t="s">
        <v>133</v>
      </c>
      <c r="K29" s="244">
        <v>2020</v>
      </c>
    </row>
    <row r="30" spans="1:12" x14ac:dyDescent="0.15">
      <c r="E30" s="37"/>
      <c r="F30" s="37"/>
      <c r="G30" s="37"/>
      <c r="H30" s="37"/>
      <c r="I30" s="37"/>
      <c r="J30" s="215" t="s">
        <v>161</v>
      </c>
      <c r="K30" s="216">
        <v>2019</v>
      </c>
    </row>
    <row r="31" spans="1:12" x14ac:dyDescent="0.15">
      <c r="E31" s="37"/>
      <c r="F31" s="37"/>
      <c r="G31" s="37"/>
      <c r="H31" s="37"/>
      <c r="I31" s="37"/>
      <c r="J31" s="217" t="s">
        <v>133</v>
      </c>
      <c r="K31" s="218">
        <v>2019</v>
      </c>
    </row>
    <row r="32" spans="1:12" x14ac:dyDescent="0.15">
      <c r="E32" s="37"/>
      <c r="F32" s="37"/>
      <c r="G32" s="37"/>
      <c r="H32" s="37"/>
      <c r="I32" s="37"/>
      <c r="J32" s="219" t="s">
        <v>161</v>
      </c>
      <c r="K32" s="220">
        <v>2018</v>
      </c>
    </row>
    <row r="33" spans="5:11" x14ac:dyDescent="0.15">
      <c r="E33" s="37"/>
      <c r="F33" s="37"/>
      <c r="G33" s="37"/>
      <c r="H33" s="37"/>
      <c r="I33" s="37"/>
      <c r="J33" s="213" t="s">
        <v>133</v>
      </c>
      <c r="K33" s="214">
        <v>2018</v>
      </c>
    </row>
    <row r="34" spans="5:11" x14ac:dyDescent="0.15">
      <c r="E34" s="37"/>
      <c r="F34" s="37"/>
      <c r="G34" s="37"/>
      <c r="H34" s="37"/>
      <c r="I34" s="37"/>
      <c r="J34" s="221" t="s">
        <v>161</v>
      </c>
      <c r="K34" s="222">
        <v>2017</v>
      </c>
    </row>
    <row r="35" spans="5:11" x14ac:dyDescent="0.15">
      <c r="J35" s="223" t="s">
        <v>133</v>
      </c>
      <c r="K35" s="224">
        <v>2017</v>
      </c>
    </row>
    <row r="36" spans="5:11" ht="15" thickBot="1" x14ac:dyDescent="0.2">
      <c r="J36" s="225" t="s">
        <v>133</v>
      </c>
      <c r="K36" s="226">
        <v>2016</v>
      </c>
    </row>
    <row r="51" spans="1:1" x14ac:dyDescent="0.15">
      <c r="A51" s="29" t="s">
        <v>134</v>
      </c>
    </row>
  </sheetData>
  <sheetProtection algorithmName="SHA-512" hashValue="L3AsgdGbnQ7iAl5XBZ4kDjoFFpN1wjgbd2pbhTvfVKcFPjWtJZj396S6cxK6Ag+e2ORTTMA8X0GraLKL63U+Yw==" saltValue="8nWNBhmzookBOp1UmFqHGQ==" spinCount="100000" sheet="1" objects="1" scenarios="1"/>
  <sortState xmlns:xlrd2="http://schemas.microsoft.com/office/spreadsheetml/2017/richdata2" ref="J15:J20">
    <sortCondition ref="J15:J20"/>
  </sortState>
  <phoneticPr fontId="2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2B29-7ED7-8042-9C8B-DC4663ED09E5}">
  <sheetPr codeName="Sheet25">
    <tabColor theme="7" tint="0.39997558519241921"/>
  </sheetPr>
  <dimension ref="A1:AP60"/>
  <sheetViews>
    <sheetView zoomScaleNormal="100" zoomScalePageLayoutView="120" workbookViewId="0">
      <selection activeCell="B38" sqref="B38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235" t="s">
        <v>149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</row>
    <row r="2" spans="1:42" ht="14" x14ac:dyDescent="0.15">
      <c r="A2" s="236" t="s">
        <v>48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</row>
    <row r="3" spans="1:42" ht="15" thickBot="1" x14ac:dyDescent="0.2">
      <c r="A3" s="235"/>
      <c r="B3" s="235"/>
      <c r="C3" s="235"/>
      <c r="D3" s="235"/>
      <c r="E3" s="235"/>
      <c r="F3" s="235"/>
      <c r="G3" s="237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</row>
    <row r="4" spans="1:42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</row>
    <row r="5" spans="1:42" ht="14" x14ac:dyDescent="0.15">
      <c r="A5" s="54" t="s">
        <v>79</v>
      </c>
      <c r="B5" s="298"/>
      <c r="C5" s="299">
        <v>5000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5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</row>
    <row r="6" spans="1:42" ht="14" x14ac:dyDescent="0.15">
      <c r="A6" s="54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5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</row>
    <row r="7" spans="1:42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300" t="s">
        <v>26</v>
      </c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</row>
    <row r="8" spans="1:42" ht="14" x14ac:dyDescent="0.15">
      <c r="A8" s="163" t="str">
        <f>'TAS Apr 2023'!K2</f>
        <v>Aurora Energy</v>
      </c>
      <c r="B8" s="164" t="str">
        <f>'TAS Apr 2023'!L2</f>
        <v>Regulated</v>
      </c>
      <c r="C8" s="165">
        <f>IF('TAS Apr 2023'!BP2=0,91*'TAS Apr 2023'!M2/100,(91*'TAS Apr 2023'!M2/100)+'TAS Apr 2023'!BP2/4)</f>
        <v>84.45544545454544</v>
      </c>
      <c r="D8" s="165">
        <f>IF('TAS Apr 2023'!O2="",$C$5*'TAS Apr 2023'!N2/100,IF($C$5&gt;='TAS Apr 2023'!P2,('TAS Apr 2023'!P2*'TAS Apr 2023'!N2/100),($C$5*'TAS Apr 2023'!N2/100)))</f>
        <v>154.17272727272726</v>
      </c>
      <c r="E8" s="165">
        <f>IF(AND('TAS Apr 2023'!P2&gt;0,'TAS Apr 2023'!R2&gt;0),IF($C$5&lt;'TAS Apr 2023'!P2,0,IF($C$5&lt;=('TAS Apr 2023'!R2+'TAS Apr 2023'!P2),(($C$5-'TAS Apr 2023'!P2)*'TAS Apr 2023'!Q2/100),(('TAS Apr 2023'!R2)*'TAS Apr 2023'!Q2/100))),0)</f>
        <v>0</v>
      </c>
      <c r="F8" s="165">
        <f>IF(AND('TAS Apr 2023'!Q2&gt;0,'TAS Apr 2023'!S2&gt;0),IF($C$5&lt;('TAS Apr 2023'!R2+'TAS Apr 2023'!P2),0,IF($C$5&lt;=('TAS Apr 2023'!T2+'TAS Apr 2023'!R2+'TAS Apr 2023'!P2),(($C$5-('TAS Apr 2023'!R2+'TAS Apr 2023'!P2))*'TAS Apr 2023'!S2/100),('TAS Apr 2023'!T2*'TAS Apr 2023'!S2/100))),0)</f>
        <v>0</v>
      </c>
      <c r="G8" s="166">
        <v>0</v>
      </c>
      <c r="H8" s="165">
        <f>IF(AND('TAS Apr 2023'!R2&gt;0,'TAS Apr 2023'!T2&gt;0),IF(($C$5&lt;'TAS Apr 2023'!T2),(0),($C$5-'TAS Apr 2023'!T2)*'TAS Apr 2023'!U2/100),IF(AND('TAS Apr 2023'!R2&gt;0,'TAS Apr 2023'!T2=""),IF(($C$5&lt;'TAS Apr 2023'!R2+'TAS Apr 2023'!P2),(0),(($C$5-('TAS Apr 2023'!R2+'TAS Apr 2023'!P2))*'TAS Apr 2023'!S2/100)),IF(AND('TAS Apr 2023'!P2&gt;0,'TAS Apr 2023'!R2=""&gt;0),IF(($C$5&lt;'TAS Apr 2023'!P2),(0),($C$5-'TAS Apr 2023'!P2)*'TAS Apr 2023'!Q2/100),0)))</f>
        <v>1026.409090909091</v>
      </c>
      <c r="I8" s="168">
        <f>SUM(C8:H8)</f>
        <v>1265.0372636363636</v>
      </c>
      <c r="J8" s="168">
        <f>(I8-C8)*4</f>
        <v>4722.3272727272724</v>
      </c>
      <c r="K8" s="168">
        <f>I8*4</f>
        <v>5060.1490545454544</v>
      </c>
      <c r="L8" s="169">
        <f>K8*1.1</f>
        <v>5566.1639599999999</v>
      </c>
      <c r="M8" s="170">
        <f>'TAS Apr 2023'!BB2</f>
        <v>0</v>
      </c>
      <c r="N8" s="170">
        <f>'TAS Apr 2023'!BC2</f>
        <v>0</v>
      </c>
      <c r="O8" s="170">
        <f>'TAS Apr 2023'!BD2</f>
        <v>0</v>
      </c>
      <c r="P8" s="170">
        <f>'TAS Apr 2023'!BE2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69">
        <f t="shared" ref="U8:V11" si="1">S8*1.1</f>
        <v>5566.1639599999999</v>
      </c>
      <c r="V8" s="301">
        <f t="shared" si="1"/>
        <v>5566.1639599999999</v>
      </c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9" spans="1:42" ht="14" x14ac:dyDescent="0.15">
      <c r="A9" s="133" t="str">
        <f>'TAS Apr 2023'!K3</f>
        <v>1st Energy</v>
      </c>
      <c r="B9" s="142" t="str">
        <f>'TAS Apr 2023'!L3</f>
        <v>1st Saver</v>
      </c>
      <c r="C9" s="107">
        <f>IF('TAS Apr 2023'!BP3=0,91*'TAS Apr 2023'!M3/100,(91*'TAS Apr 2023'!M3/100)+'TAS Apr 2023'!BP3/4)</f>
        <v>83.537999999999997</v>
      </c>
      <c r="D9" s="107">
        <f>IF('TAS Apr 2023'!O3="",$C$5*'TAS Apr 2023'!N3/100,IF($C$5&gt;='TAS Apr 2023'!P3,('TAS Apr 2023'!P3*'TAS Apr 2023'!N3/100),($C$5*'TAS Apr 2023'!N3/100)))</f>
        <v>152.49999999999997</v>
      </c>
      <c r="E9" s="107">
        <f>IF(AND('TAS Apr 2023'!P3&gt;0,'TAS Apr 2023'!R3&gt;0),IF($C$5&lt;'TAS Apr 2023'!P3,0,IF($C$5&lt;=('TAS Apr 2023'!R3+'TAS Apr 2023'!P3),(($C$5-'TAS Apr 2023'!P3)*'TAS Apr 2023'!Q3/100),(('TAS Apr 2023'!R3)*'TAS Apr 2023'!Q3/100))),0)</f>
        <v>0</v>
      </c>
      <c r="F9" s="107">
        <f>IF(AND('TAS Apr 2023'!Q3&gt;0,'TAS Apr 2023'!S3&gt;0),IF($C$5&lt;('TAS Apr 2023'!R3+'TAS Apr 2023'!P3),0,IF($C$5&lt;=('TAS Apr 2023'!T3+'TAS Apr 2023'!R3+'TAS Apr 2023'!P3),(($C$5-('TAS Apr 2023'!R3+'TAS Apr 2023'!P3))*'TAS Apr 2023'!S3/100),('TAS Apr 2023'!T3*'TAS Apr 2023'!S3/100))),0)</f>
        <v>0</v>
      </c>
      <c r="G9" s="109">
        <v>0</v>
      </c>
      <c r="H9" s="107">
        <f>IF(AND('TAS Apr 2023'!R3&gt;0,'TAS Apr 2023'!T3&gt;0),IF(($C$5&lt;'TAS Apr 2023'!T3),(0),($C$5-'TAS Apr 2023'!T3)*'TAS Apr 2023'!U3/100),IF(AND('TAS Apr 2023'!R3&gt;0,'TAS Apr 2023'!T3=""),IF(($C$5&lt;'TAS Apr 2023'!R3+'TAS Apr 2023'!P3),(0),(($C$5-('TAS Apr 2023'!R3+'TAS Apr 2023'!P3))*'TAS Apr 2023'!S3/100)),IF(AND('TAS Apr 2023'!P3&gt;0,'TAS Apr 2023'!R3=""&gt;0),IF(($C$5&lt;'TAS Apr 2023'!P3),(0),($C$5-'TAS Apr 2023'!P3)*'TAS Apr 2023'!Q3/100),0)))</f>
        <v>1012.4999999999999</v>
      </c>
      <c r="I9" s="111">
        <f>SUM(C9:H9)</f>
        <v>1248.5379999999998</v>
      </c>
      <c r="J9" s="111">
        <f>(I9-C9)*4</f>
        <v>4659.9999999999991</v>
      </c>
      <c r="K9" s="111">
        <f>I9*4</f>
        <v>4994.1519999999991</v>
      </c>
      <c r="L9" s="112">
        <f>K9*1.1</f>
        <v>5493.5671999999995</v>
      </c>
      <c r="M9" s="106">
        <f>'TAS Apr 2023'!BB3</f>
        <v>0</v>
      </c>
      <c r="N9" s="106">
        <f>'TAS Apr 2023'!BC3</f>
        <v>5</v>
      </c>
      <c r="O9" s="106">
        <f>'TAS Apr 2023'!BD3</f>
        <v>0</v>
      </c>
      <c r="P9" s="106">
        <f>'TAS Apr 2023'!BE3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12">
        <f t="shared" si="1"/>
        <v>5237.2671999999993</v>
      </c>
      <c r="V9" s="302">
        <f t="shared" si="1"/>
        <v>5237.2671999999993</v>
      </c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</row>
    <row r="10" spans="1:42" ht="14" x14ac:dyDescent="0.15">
      <c r="A10" s="133" t="str">
        <f>'TAS Apr 2023'!K4</f>
        <v>CovaU</v>
      </c>
      <c r="B10" s="142" t="str">
        <f>'TAS Apr 2023'!L4</f>
        <v>Freedom</v>
      </c>
      <c r="C10" s="107">
        <f>IF('TAS Apr 2023'!BP4=0,91*'TAS Apr 2023'!M4/100,(91*'TAS Apr 2023'!M4/100)+'TAS Apr 2023'!BP4/4)</f>
        <v>92.82</v>
      </c>
      <c r="D10" s="107">
        <f>IF('TAS Apr 2023'!O4="",$C$5*'TAS Apr 2023'!N4/100,IF($C$5&gt;='TAS Apr 2023'!P4,('TAS Apr 2023'!P4*'TAS Apr 2023'!N4/100),($C$5*'TAS Apr 2023'!N4/100)))</f>
        <v>177.81818181818176</v>
      </c>
      <c r="E10" s="107">
        <f>IF(AND('TAS Apr 2023'!P4&gt;0,'TAS Apr 2023'!R4&gt;0),IF($C$5&lt;'TAS Apr 2023'!P4,0,IF($C$5&lt;=('TAS Apr 2023'!R4+'TAS Apr 2023'!P4),(($C$5-'TAS Apr 2023'!P4)*'TAS Apr 2023'!Q4/100),(('TAS Apr 2023'!R4)*'TAS Apr 2023'!Q4/100))),0)</f>
        <v>0</v>
      </c>
      <c r="F10" s="107">
        <f>IF(AND('TAS Apr 2023'!Q4&gt;0,'TAS Apr 2023'!S4&gt;0),IF($C$5&lt;('TAS Apr 2023'!R4+'TAS Apr 2023'!P4),0,IF($C$5&lt;=('TAS Apr 2023'!T4+'TAS Apr 2023'!R4+'TAS Apr 2023'!P4),(($C$5-('TAS Apr 2023'!R4+'TAS Apr 2023'!P4))*'TAS Apr 2023'!S4/100),('TAS Apr 2023'!T4*'TAS Apr 2023'!S4/100))),0)</f>
        <v>0</v>
      </c>
      <c r="G10" s="109">
        <v>0</v>
      </c>
      <c r="H10" s="107">
        <f>IF(AND('TAS Apr 2023'!R4&gt;0,'TAS Apr 2023'!T4&gt;0),IF(($C$5&lt;'TAS Apr 2023'!T4),(0),($C$5-'TAS Apr 2023'!T4)*'TAS Apr 2023'!U4/100),IF(AND('TAS Apr 2023'!R4&gt;0,'TAS Apr 2023'!T4=""),IF(($C$5&lt;'TAS Apr 2023'!R4+'TAS Apr 2023'!P4),(0),(($C$5-('TAS Apr 2023'!R4+'TAS Apr 2023'!P4))*'TAS Apr 2023'!S4/100)),IF(AND('TAS Apr 2023'!P4&gt;0,'TAS Apr 2023'!R4=""&gt;0),IF(($C$5&lt;'TAS Apr 2023'!P4),(0),($C$5-'TAS Apr 2023'!P4)*'TAS Apr 2023'!Q4/100),0)))</f>
        <v>1457.590909090909</v>
      </c>
      <c r="I10" s="111">
        <f t="shared" ref="I10:I11" si="2">SUM(C10:H10)</f>
        <v>1728.2290909090907</v>
      </c>
      <c r="J10" s="111">
        <f t="shared" ref="J10:J11" si="3">(I10-C10)*4</f>
        <v>6541.6363636363631</v>
      </c>
      <c r="K10" s="111">
        <f t="shared" ref="K10:K11" si="4">I10*4</f>
        <v>6912.9163636363628</v>
      </c>
      <c r="L10" s="112">
        <f t="shared" ref="L10:L11" si="5">K10*1.1</f>
        <v>7604.2079999999996</v>
      </c>
      <c r="M10" s="106">
        <f>'TAS Apr 2023'!BB4</f>
        <v>0</v>
      </c>
      <c r="N10" s="106">
        <f>'TAS Apr 2023'!BC4</f>
        <v>5</v>
      </c>
      <c r="O10" s="106">
        <f>'TAS Apr 2023'!BD4</f>
        <v>0</v>
      </c>
      <c r="P10" s="106">
        <f>'TAS Apr 2023'!BE4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12">
        <f t="shared" si="1"/>
        <v>7244.4179999999997</v>
      </c>
      <c r="V10" s="302">
        <f t="shared" si="1"/>
        <v>7244.4179999999997</v>
      </c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</row>
    <row r="11" spans="1:42" ht="15" thickBot="1" x14ac:dyDescent="0.2">
      <c r="A11" s="136" t="str">
        <f>'TAS Apr 2023'!K5</f>
        <v>Energy Locals</v>
      </c>
      <c r="B11" s="143" t="str">
        <f>'TAS Apr 2023'!L5</f>
        <v>Business Member</v>
      </c>
      <c r="C11" s="116">
        <f>IF('TAS Apr 2023'!BP5=0,91*'TAS Apr 2023'!M5/100,(91*'TAS Apr 2023'!M5/100)+'TAS Apr 2023'!BP5/4)</f>
        <v>120.31363636363635</v>
      </c>
      <c r="D11" s="116">
        <f>IF('TAS Apr 2023'!O5="",$C$5*'TAS Apr 2023'!N5/100,IF($C$5&gt;='TAS Apr 2023'!P5,('TAS Apr 2023'!P5*'TAS Apr 2023'!N5/100),($C$5*'TAS Apr 2023'!N5/100)))</f>
        <v>120.45454545454544</v>
      </c>
      <c r="E11" s="116">
        <f>IF(AND('TAS Apr 2023'!P5&gt;0,'TAS Apr 2023'!R5&gt;0),IF($C$5&lt;'TAS Apr 2023'!P5,0,IF($C$5&lt;=('TAS Apr 2023'!R5+'TAS Apr 2023'!P5),(($C$5-'TAS Apr 2023'!P5)*'TAS Apr 2023'!Q5/100),(('TAS Apr 2023'!R5)*'TAS Apr 2023'!Q5/100))),0)</f>
        <v>0</v>
      </c>
      <c r="F11" s="116">
        <f>IF(AND('TAS Apr 2023'!Q5&gt;0,'TAS Apr 2023'!S5&gt;0),IF($C$5&lt;('TAS Apr 2023'!R5+'TAS Apr 2023'!P5),0,IF($C$5&lt;=('TAS Apr 2023'!T5+'TAS Apr 2023'!R5+'TAS Apr 2023'!P5),(($C$5-('TAS Apr 2023'!R5+'TAS Apr 2023'!P5))*'TAS Apr 2023'!S5/100),('TAS Apr 2023'!T5*'TAS Apr 2023'!S5/100))),0)</f>
        <v>0</v>
      </c>
      <c r="G11" s="118">
        <v>0</v>
      </c>
      <c r="H11" s="116">
        <f>IF(AND('TAS Apr 2023'!R5&gt;0,'TAS Apr 2023'!T5&gt;0),IF(($C$5&lt;'TAS Apr 2023'!T5),(0),($C$5-'TAS Apr 2023'!T5)*'TAS Apr 2023'!U5/100),IF(AND('TAS Apr 2023'!R5&gt;0,'TAS Apr 2023'!T5=""),IF(($C$5&lt;'TAS Apr 2023'!R5+'TAS Apr 2023'!P5),(0),(($C$5-('TAS Apr 2023'!R5+'TAS Apr 2023'!P5))*'TAS Apr 2023'!S5/100)),IF(AND('TAS Apr 2023'!P5&gt;0,'TAS Apr 2023'!R5=""&gt;0),IF(($C$5&lt;'TAS Apr 2023'!P5),(0),($C$5-'TAS Apr 2023'!P5)*'TAS Apr 2023'!Q5/100),0)))</f>
        <v>1084.090909090909</v>
      </c>
      <c r="I11" s="120">
        <f t="shared" si="2"/>
        <v>1324.8590909090908</v>
      </c>
      <c r="J11" s="120">
        <f t="shared" si="3"/>
        <v>4818.181818181818</v>
      </c>
      <c r="K11" s="120">
        <f t="shared" si="4"/>
        <v>5299.4363636363632</v>
      </c>
      <c r="L11" s="121">
        <f t="shared" si="5"/>
        <v>5829.38</v>
      </c>
      <c r="M11" s="115">
        <f>'TAS Apr 2023'!BB5</f>
        <v>0</v>
      </c>
      <c r="N11" s="115">
        <f>'TAS Apr 2023'!BC5</f>
        <v>0</v>
      </c>
      <c r="O11" s="115">
        <f>'TAS Apr 2023'!BD5</f>
        <v>0</v>
      </c>
      <c r="P11" s="115">
        <f>'TAS Apr 2023'!BE5</f>
        <v>0</v>
      </c>
      <c r="Q11" s="115" t="str">
        <f t="shared" si="6"/>
        <v>No discount</v>
      </c>
      <c r="R11" s="115" t="str">
        <f t="shared" si="0"/>
        <v>Exclusive</v>
      </c>
      <c r="S11" s="201">
        <f t="shared" si="7"/>
        <v>5299.4363636363632</v>
      </c>
      <c r="T11" s="202">
        <f t="shared" si="8"/>
        <v>5299.4363636363632</v>
      </c>
      <c r="U11" s="121">
        <f t="shared" si="1"/>
        <v>5829.38</v>
      </c>
      <c r="V11" s="303">
        <f t="shared" si="1"/>
        <v>5829.38</v>
      </c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</row>
    <row r="12" spans="1:42" ht="14" x14ac:dyDescent="0.15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8"/>
      <c r="U12" s="238"/>
      <c r="V12" s="238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</row>
    <row r="13" spans="1:42" ht="15" thickBot="1" x14ac:dyDescent="0.2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8"/>
      <c r="U13" s="238"/>
      <c r="V13" s="238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</row>
    <row r="14" spans="1:42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</row>
    <row r="15" spans="1:42" ht="14" x14ac:dyDescent="0.15">
      <c r="A15" s="54" t="s">
        <v>79</v>
      </c>
      <c r="B15" s="298"/>
      <c r="C15" s="299">
        <v>5000</v>
      </c>
      <c r="D15" s="304"/>
      <c r="E15" s="304"/>
      <c r="F15" s="304"/>
      <c r="G15" s="304"/>
      <c r="H15" s="304"/>
      <c r="I15" s="305"/>
      <c r="J15" s="305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5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</row>
    <row r="16" spans="1:42" ht="14" x14ac:dyDescent="0.15">
      <c r="A16" s="54" t="s">
        <v>97</v>
      </c>
      <c r="B16" s="298"/>
      <c r="C16" s="306">
        <v>0.7</v>
      </c>
      <c r="D16" s="304"/>
      <c r="E16" s="304"/>
      <c r="F16" s="304"/>
      <c r="G16" s="304"/>
      <c r="H16" s="304"/>
      <c r="I16" s="305"/>
      <c r="J16" s="305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5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</row>
    <row r="17" spans="1:42" ht="14" x14ac:dyDescent="0.15">
      <c r="A17" s="54" t="s">
        <v>148</v>
      </c>
      <c r="B17" s="298"/>
      <c r="C17" s="306">
        <v>0.3</v>
      </c>
      <c r="D17" s="304"/>
      <c r="E17" s="304"/>
      <c r="F17" s="304"/>
      <c r="G17" s="304"/>
      <c r="H17" s="304"/>
      <c r="I17" s="305"/>
      <c r="J17" s="305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5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</row>
    <row r="18" spans="1:42" ht="14" x14ac:dyDescent="0.15">
      <c r="A18" s="54"/>
      <c r="B18" s="298"/>
      <c r="C18" s="304"/>
      <c r="D18" s="304"/>
      <c r="E18" s="304"/>
      <c r="F18" s="304"/>
      <c r="G18" s="304"/>
      <c r="H18" s="304"/>
      <c r="I18" s="305"/>
      <c r="J18" s="305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5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</row>
    <row r="19" spans="1:42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300" t="s">
        <v>26</v>
      </c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</row>
    <row r="20" spans="1:42" ht="14" x14ac:dyDescent="0.15">
      <c r="A20" s="163" t="str">
        <f>'TAS Apr 2023'!K6</f>
        <v>Aurora Energy</v>
      </c>
      <c r="B20" s="164" t="str">
        <f>'TAS Apr 2023'!L6</f>
        <v>Regulated</v>
      </c>
      <c r="C20" s="165">
        <f>IF('TAS Apr 2023'!BP6=0,91*'TAS Apr 2023'!M6/100,(91*'TAS Apr 2023'!M6/100)+'TAS Apr 2023'!BP6/4)</f>
        <v>99.594536363636365</v>
      </c>
      <c r="D20" s="165">
        <f>IF('TAS Apr 2023'!O6="",$C$15*$C$16*'TAS Apr 2023'!N6/100,IF($C$15*$C$16&gt;='TAS Apr 2023'!P6,('TAS Apr 2023'!P6*'TAS Apr 2023'!N6/100),($C$15*$C$16*'TAS Apr 2023'!N6/100)))</f>
        <v>154.17272727272726</v>
      </c>
      <c r="E20" s="165">
        <f>IF(AND('TAS Apr 2023'!P6&gt;0,'TAS Apr 2023'!R6&gt;0),IF($C$15*$C$16&lt;'TAS Apr 2023'!P6,0,IF($C$15*$C$16&lt;=('TAS Apr 2023'!R6+'TAS Apr 2023'!P6),(($C$15*$C$16-'TAS Apr 2023'!P6)*'TAS Apr 2023'!Q6/100),(('TAS Apr 2023'!R6)*'TAS Apr 2023'!Q6/100))),0)</f>
        <v>0</v>
      </c>
      <c r="F20" s="165">
        <f>IF(AND('TAS Apr 2023'!Q2&gt;0,'TAS Apr 2023'!S2&gt;0),IF($C$15*$C$16&lt;('TAS Apr 2023'!R2+'TAS Apr 2023'!P2),0,IF($C$15*$C$16&lt;=('TAS Apr 2023'!T2+'TAS Apr 2023'!R2+'TAS Apr 2023'!P2),(($C$15*$C$16-('TAS Apr 2023'!R2+'TAS Apr 2023'!P2))*'TAS Apr 2023'!S2/100),('TAS Apr 2023'!T2*'TAS Apr 2023'!S2/100))),0)</f>
        <v>0</v>
      </c>
      <c r="G20" s="165">
        <f>IF(AND('TAS Apr 2023'!R6&gt;0,'TAS Apr 2023'!T6&gt;0),IF(($C$15*$C$16&lt;'TAS Apr 2023'!T6),(0),($C$15*$C$16-'TAS Apr 2023'!T6)*'TAS Apr 2023'!U6/100),IF(AND('TAS Apr 2023'!R6&gt;0,'TAS Apr 2023'!T6=""),IF(($C$15*$C$16&lt;'TAS Apr 2023'!R6+'TAS Apr 2023'!P6),(0),(($C$15*$C$16-('TAS Apr 2023'!R6+'TAS Apr 2023'!P6))*'TAS Apr 2023'!S6/100)),IF(AND('TAS Apr 2023'!P6&gt;0,'TAS Apr 2023'!R6=""&gt;0),IF(($C$15*$C$16&lt;'TAS Apr 2023'!P6),(0),($C$15*$C$16-'TAS Apr 2023'!P6)*'TAS Apr 2023'!Q6/100),0)))</f>
        <v>684.27272727272725</v>
      </c>
      <c r="H20" s="167">
        <f>($C$15*$C$17)*'TAS Apr 2023'!AF6/100</f>
        <v>219.1363636363636</v>
      </c>
      <c r="I20" s="168">
        <f>SUM(C20:H20)</f>
        <v>1157.1763545454544</v>
      </c>
      <c r="J20" s="168">
        <f>(I20-C20)*4</f>
        <v>4230.3272727272724</v>
      </c>
      <c r="K20" s="168">
        <f>I20*4</f>
        <v>4628.7054181818175</v>
      </c>
      <c r="L20" s="169">
        <f>K20*1.1</f>
        <v>5091.5759600000001</v>
      </c>
      <c r="M20" s="170">
        <f>'TAS Apr 2023'!BB6</f>
        <v>0</v>
      </c>
      <c r="N20" s="170">
        <f>'TAS Apr 2023'!BC6</f>
        <v>0</v>
      </c>
      <c r="O20" s="170">
        <f>'TAS Apr 2023'!BD6</f>
        <v>0</v>
      </c>
      <c r="P20" s="170">
        <f>'TAS Apr 2023'!BE6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69">
        <f t="shared" ref="U20:U23" si="10">IF(R20="Exclusive",S20*1.1,S20)</f>
        <v>5091.5759600000001</v>
      </c>
      <c r="V20" s="301">
        <f t="shared" ref="V20:V23" si="11">IF(R20="Exclusive",T20*1.1,T20)</f>
        <v>5091.5759600000001</v>
      </c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</row>
    <row r="21" spans="1:42" ht="14" x14ac:dyDescent="0.15">
      <c r="A21" s="133" t="str">
        <f>'TAS Apr 2023'!K7</f>
        <v>1st Energy</v>
      </c>
      <c r="B21" s="142" t="str">
        <f>'TAS Apr 2023'!L7</f>
        <v>1st Saver</v>
      </c>
      <c r="C21" s="107">
        <f>IF('TAS Apr 2023'!BP7=0,91*'TAS Apr 2023'!M7/100,(91*'TAS Apr 2023'!M7/100)+'TAS Apr 2023'!BP7/4)</f>
        <v>101.374</v>
      </c>
      <c r="D21" s="107">
        <f>IF('TAS Apr 2023'!O7="",$C$15*$C$16*'TAS Apr 2023'!N7/100,IF($C$15*$C$16&gt;='TAS Apr 2023'!P7,('TAS Apr 2023'!P7*'TAS Apr 2023'!N7/100),($C$15*$C$16*'TAS Apr 2023'!N7/100)))</f>
        <v>152.49999999999997</v>
      </c>
      <c r="E21" s="107">
        <f>IF(AND('TAS Apr 2023'!P7&gt;0,'TAS Apr 2023'!R7&gt;0),IF($C$15*$C$16&lt;'TAS Apr 2023'!P7,0,IF($C$15*$C$16&lt;=('TAS Apr 2023'!R7+'TAS Apr 2023'!P7),(($C$15*$C$16-'TAS Apr 2023'!P7)*'TAS Apr 2023'!Q7/100),(('TAS Apr 2023'!R7)*'TAS Apr 2023'!Q7/100))),0)</f>
        <v>0</v>
      </c>
      <c r="F21" s="107">
        <f>IF(AND('TAS Apr 2023'!Q3&gt;0,'TAS Apr 2023'!S3&gt;0),IF($C$15*$C$16&lt;('TAS Apr 2023'!R3+'TAS Apr 2023'!P3),0,IF($C$15*$C$16&lt;=('TAS Apr 2023'!T3+'TAS Apr 2023'!R3+'TAS Apr 2023'!P3),(($C$15*$C$16-('TAS Apr 2023'!R3+'TAS Apr 2023'!P3))*'TAS Apr 2023'!S3/100),('TAS Apr 2023'!T3*'TAS Apr 2023'!S3/100))),0)</f>
        <v>0</v>
      </c>
      <c r="G21" s="107">
        <f>IF(AND('TAS Apr 2023'!R7&gt;0,'TAS Apr 2023'!T7&gt;0),IF(($C$15*$C$16&lt;'TAS Apr 2023'!T7),(0),($C$15*$C$16-'TAS Apr 2023'!T7)*'TAS Apr 2023'!U7/100),IF(AND('TAS Apr 2023'!R7&gt;0,'TAS Apr 2023'!T7=""),IF(($C$15*$C$16&lt;'TAS Apr 2023'!R7+'TAS Apr 2023'!P7),(0),(($C$15*$C$16-('TAS Apr 2023'!R7+'TAS Apr 2023'!P7))*'TAS Apr 2023'!S7/100)),IF(AND('TAS Apr 2023'!P7&gt;0,'TAS Apr 2023'!R7=""&gt;0),IF(($C$15*$C$16&lt;'TAS Apr 2023'!P7),(0),($C$15*$C$16-'TAS Apr 2023'!P7)*'TAS Apr 2023'!Q7/100),0)))</f>
        <v>674.99999999999989</v>
      </c>
      <c r="H21" s="110">
        <f>($C$15*$C$17)*'TAS Apr 2023'!AF7/100</f>
        <v>183</v>
      </c>
      <c r="I21" s="111">
        <f>SUM(C21:H21)</f>
        <v>1111.8739999999998</v>
      </c>
      <c r="J21" s="111">
        <f>(I21-C21)*4</f>
        <v>4041.9999999999991</v>
      </c>
      <c r="K21" s="111">
        <f>I21*4</f>
        <v>4447.4959999999992</v>
      </c>
      <c r="L21" s="112">
        <f>K21*1.1</f>
        <v>4892.2455999999993</v>
      </c>
      <c r="M21" s="106">
        <f>'TAS Apr 2023'!BB7</f>
        <v>0</v>
      </c>
      <c r="N21" s="106">
        <f>'TAS Apr 2023'!BC7</f>
        <v>5</v>
      </c>
      <c r="O21" s="106">
        <f>'TAS Apr 2023'!BD7</f>
        <v>0</v>
      </c>
      <c r="P21" s="106">
        <f>'TAS Apr 2023'!BE7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12">
        <f t="shared" si="10"/>
        <v>4669.9355999999989</v>
      </c>
      <c r="V21" s="302">
        <f t="shared" si="11"/>
        <v>4669.9355999999989</v>
      </c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</row>
    <row r="22" spans="1:42" ht="14" x14ac:dyDescent="0.15">
      <c r="A22" s="133" t="str">
        <f>'TAS Apr 2023'!K8</f>
        <v>CovaU</v>
      </c>
      <c r="B22" s="142" t="str">
        <f>'TAS Apr 2023'!L8</f>
        <v>Freedom</v>
      </c>
      <c r="C22" s="107">
        <f>IF('TAS Apr 2023'!BP8=0,91*'TAS Apr 2023'!M8/100,(91*'TAS Apr 2023'!M8/100)+'TAS Apr 2023'!BP8/4)</f>
        <v>92.82</v>
      </c>
      <c r="D22" s="107">
        <f>IF('TAS Apr 2023'!O8="",$C$15*$C$16*'TAS Apr 2023'!N8/100,IF($C$15*$C$16&gt;='TAS Apr 2023'!P8,('TAS Apr 2023'!P8*'TAS Apr 2023'!N8/100),($C$15*$C$16*'TAS Apr 2023'!N8/100)))</f>
        <v>177.81818181818176</v>
      </c>
      <c r="E22" s="107">
        <f>IF(AND('TAS Apr 2023'!P8&gt;0,'TAS Apr 2023'!R8&gt;0),IF($C$15*$C$16&lt;'TAS Apr 2023'!P8,0,IF($C$15*$C$16&lt;=('TAS Apr 2023'!R8+'TAS Apr 2023'!P8),(($C$15*$C$16-'TAS Apr 2023'!P8)*'TAS Apr 2023'!Q8/100),(('TAS Apr 2023'!R8)*'TAS Apr 2023'!Q8/100))),0)</f>
        <v>0</v>
      </c>
      <c r="F22" s="107">
        <f>IF(AND('TAS Apr 2023'!Q4&gt;0,'TAS Apr 2023'!S4&gt;0),IF($C$15*$C$16&lt;('TAS Apr 2023'!R4+'TAS Apr 2023'!P4),0,IF($C$15*$C$16&lt;=('TAS Apr 2023'!T4+'TAS Apr 2023'!R4+'TAS Apr 2023'!P4),(($C$15*$C$16-('TAS Apr 2023'!R4+'TAS Apr 2023'!P4))*'TAS Apr 2023'!S4/100),('TAS Apr 2023'!T4*'TAS Apr 2023'!S4/100))),0)</f>
        <v>0</v>
      </c>
      <c r="G22" s="107">
        <f>IF(AND('TAS Apr 2023'!R8&gt;0,'TAS Apr 2023'!T8&gt;0),IF(($C$15*$C$16&lt;'TAS Apr 2023'!T8),(0),($C$15*$C$16-'TAS Apr 2023'!T8)*'TAS Apr 2023'!U8/100),IF(AND('TAS Apr 2023'!R8&gt;0,'TAS Apr 2023'!T8=""),IF(($C$15*$C$16&lt;'TAS Apr 2023'!R8+'TAS Apr 2023'!P8),(0),(($C$15*$C$16-('TAS Apr 2023'!R8+'TAS Apr 2023'!P8))*'TAS Apr 2023'!S8/100)),IF(AND('TAS Apr 2023'!P8&gt;0,'TAS Apr 2023'!R8=""&gt;0),IF(($C$15*$C$16&lt;'TAS Apr 2023'!P8),(0),($C$15*$C$16-'TAS Apr 2023'!P8)*'TAS Apr 2023'!Q8/100),0)))</f>
        <v>971.72727272727263</v>
      </c>
      <c r="H22" s="110">
        <f>($C$15*$C$17)*'TAS Apr 2023'!AF8/100</f>
        <v>420.81818181818176</v>
      </c>
      <c r="I22" s="111">
        <f>SUM(C22:H22)</f>
        <v>1663.1836363636362</v>
      </c>
      <c r="J22" s="111">
        <f>(I22-C22)*4</f>
        <v>6281.454545454545</v>
      </c>
      <c r="K22" s="111">
        <f>I22*4</f>
        <v>6652.7345454545448</v>
      </c>
      <c r="L22" s="112">
        <f>K22*1.1</f>
        <v>7318.0079999999998</v>
      </c>
      <c r="M22" s="106">
        <f>'TAS Apr 2023'!BB8</f>
        <v>0</v>
      </c>
      <c r="N22" s="106">
        <f>'TAS Apr 2023'!BC8</f>
        <v>5</v>
      </c>
      <c r="O22" s="106">
        <f>'TAS Apr 2023'!BD8</f>
        <v>0</v>
      </c>
      <c r="P22" s="106">
        <f>'TAS Apr 2023'!BE8</f>
        <v>0</v>
      </c>
      <c r="Q22" s="106" t="str">
        <f>IF(SUM(M22:P22)=0,"No discount",IF(M22&gt;0,"Guaranteed off bill",IF(N22&gt;0,"Guaranteed off usage",IF(O22&gt;0,"Pay-on-time off bill","Pay-on-time off usage"))))</f>
        <v>Guaranteed off usage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12">
        <f t="shared" si="10"/>
        <v>6972.5280000000002</v>
      </c>
      <c r="V22" s="302">
        <f t="shared" si="11"/>
        <v>6972.5280000000002</v>
      </c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</row>
    <row r="23" spans="1:42" ht="15" thickBot="1" x14ac:dyDescent="0.2">
      <c r="A23" s="136" t="str">
        <f>'TAS Apr 2023'!K9</f>
        <v>Energy Locals</v>
      </c>
      <c r="B23" s="143" t="str">
        <f>'TAS Apr 2023'!L9</f>
        <v>Business Member</v>
      </c>
      <c r="C23" s="116">
        <f>IF('TAS Apr 2023'!BP9=0,91*'TAS Apr 2023'!M9/100,(91*'TAS Apr 2023'!M9/100)+'TAS Apr 2023'!BP9/4)</f>
        <v>150.09545454545452</v>
      </c>
      <c r="D23" s="116">
        <f>IF('TAS Apr 2023'!O9="",$C$15*$C$16*'TAS Apr 2023'!N9/100,IF($C$15*$C$16&gt;='TAS Apr 2023'!P9,('TAS Apr 2023'!P9*'TAS Apr 2023'!N9/100),($C$15*$C$16*'TAS Apr 2023'!N9/100)))</f>
        <v>120.45454545454544</v>
      </c>
      <c r="E23" s="116">
        <f>IF(AND('TAS Apr 2023'!P9&gt;0,'TAS Apr 2023'!R9&gt;0),IF($C$15*$C$16&lt;'TAS Apr 2023'!P9,0,IF($C$15*$C$16&lt;=('TAS Apr 2023'!R9+'TAS Apr 2023'!P9),(($C$15*$C$16-'TAS Apr 2023'!P9)*'TAS Apr 2023'!Q9/100),(('TAS Apr 2023'!R9)*'TAS Apr 2023'!Q9/100))),0)</f>
        <v>0</v>
      </c>
      <c r="F23" s="116">
        <f>IF(AND('TAS Apr 2023'!Q4&gt;0,'TAS Apr 2023'!S4&gt;0),IF($C$15*$C$16&lt;('TAS Apr 2023'!R4+'TAS Apr 2023'!P4),0,IF($C$15*$C$16&lt;=('TAS Apr 2023'!T4+'TAS Apr 2023'!R4+'TAS Apr 2023'!P4),(($C$15*$C$16-('TAS Apr 2023'!R4+'TAS Apr 2023'!P4))*'TAS Apr 2023'!S4/100),('TAS Apr 2023'!T4*'TAS Apr 2023'!S4/100))),0)</f>
        <v>0</v>
      </c>
      <c r="G23" s="116">
        <f>IF(AND('TAS Apr 2023'!R9&gt;0,'TAS Apr 2023'!T9&gt;0),IF(($C$15*$C$16&lt;'TAS Apr 2023'!T9),(0),($C$15*$C$16-'TAS Apr 2023'!T9)*'TAS Apr 2023'!U9/100),IF(AND('TAS Apr 2023'!R9&gt;0,'TAS Apr 2023'!T9=""),IF(($C$15*$C$16&lt;'TAS Apr 2023'!R9+'TAS Apr 2023'!P9),(0),(($C$15*$C$16-('TAS Apr 2023'!R9+'TAS Apr 2023'!P9))*'TAS Apr 2023'!S9/100)),IF(AND('TAS Apr 2023'!P9&gt;0,'TAS Apr 2023'!R9=""&gt;0),IF(($C$15*$C$16&lt;'TAS Apr 2023'!P9),(0),($C$15*$C$16-'TAS Apr 2023'!P9)*'TAS Apr 2023'!Q9/100),0)))</f>
        <v>722.72727272727263</v>
      </c>
      <c r="H23" s="119">
        <f>($C$15*$C$17)*'TAS Apr 2023'!AF9/100</f>
        <v>252.27272727272725</v>
      </c>
      <c r="I23" s="120">
        <f>SUM(C23:H23)</f>
        <v>1245.5499999999997</v>
      </c>
      <c r="J23" s="120">
        <f>(I23-C23)*4</f>
        <v>4381.8181818181811</v>
      </c>
      <c r="K23" s="120">
        <f>I23*4</f>
        <v>4982.1999999999989</v>
      </c>
      <c r="L23" s="121">
        <f>K23*1.1</f>
        <v>5480.4199999999992</v>
      </c>
      <c r="M23" s="115">
        <f>'TAS Apr 2023'!BB9</f>
        <v>0</v>
      </c>
      <c r="N23" s="115">
        <f>'TAS Apr 2023'!BC9</f>
        <v>0</v>
      </c>
      <c r="O23" s="115">
        <f>'TAS Apr 2023'!BD9</f>
        <v>0</v>
      </c>
      <c r="P23" s="115">
        <f>'TAS Apr 2023'!BE9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21">
        <f t="shared" si="10"/>
        <v>5480.4199999999992</v>
      </c>
      <c r="V23" s="303">
        <f t="shared" si="11"/>
        <v>5480.4199999999992</v>
      </c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</row>
    <row r="24" spans="1:42" ht="14" x14ac:dyDescent="0.15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8"/>
      <c r="U24" s="238"/>
      <c r="V24" s="238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</row>
    <row r="25" spans="1:42" ht="15" thickBot="1" x14ac:dyDescent="0.2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8"/>
      <c r="U25" s="238"/>
      <c r="V25" s="238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</row>
    <row r="26" spans="1:42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</row>
    <row r="27" spans="1:42" ht="14" x14ac:dyDescent="0.15">
      <c r="A27" s="54" t="s">
        <v>22</v>
      </c>
      <c r="B27" s="298"/>
      <c r="C27" s="299">
        <v>5000</v>
      </c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5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</row>
    <row r="28" spans="1:42" ht="14" x14ac:dyDescent="0.15">
      <c r="A28" s="54" t="s">
        <v>23</v>
      </c>
      <c r="B28" s="298"/>
      <c r="C28" s="306">
        <v>0.3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5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</row>
    <row r="29" spans="1:42" ht="14" x14ac:dyDescent="0.15">
      <c r="A29" s="54" t="s">
        <v>24</v>
      </c>
      <c r="B29" s="298"/>
      <c r="C29" s="306">
        <v>0.4</v>
      </c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5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</row>
    <row r="30" spans="1:42" ht="14" x14ac:dyDescent="0.15">
      <c r="A30" s="54" t="s">
        <v>21</v>
      </c>
      <c r="B30" s="298"/>
      <c r="C30" s="306">
        <v>0.3</v>
      </c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5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</row>
    <row r="31" spans="1:42" ht="14" x14ac:dyDescent="0.15">
      <c r="A31" s="54"/>
      <c r="B31" s="29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5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</row>
    <row r="32" spans="1:42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300" t="s">
        <v>26</v>
      </c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</row>
    <row r="33" spans="1:42" ht="14" x14ac:dyDescent="0.15">
      <c r="A33" s="163" t="str">
        <f>'TAS Apr 2023'!K10</f>
        <v>Aurora Energy</v>
      </c>
      <c r="B33" s="164" t="str">
        <f>'TAS Apr 2023'!L10</f>
        <v>Regulated</v>
      </c>
      <c r="C33" s="165">
        <f>IF('TAS Apr 2023'!BP10=0,91*'TAS Apr 2023'!M10/100,(91*'TAS Apr 2023'!M10/100)+'TAS Apr 2023'!BP10/4)</f>
        <v>91.482299999999995</v>
      </c>
      <c r="D33" s="165">
        <f>IF('TAS Apr 2023'!O10="",$C$27*$C$28*'TAS Apr 2023'!N10/100,IF($C$27*$C$28&gt;='TAS Apr 2023'!P10,('TAS Apr 2023'!P10*'TAS Apr 2023'!N10/100),($C$27*$C$28*'TAS Apr 2023'!N10/100)))</f>
        <v>380.60454545454542</v>
      </c>
      <c r="E33" s="165">
        <f>IF(AND('TAS Apr 2023'!P10&gt;0,'TAS Apr 2023'!R10&gt;0),IF($C$27*$C$28&lt;'TAS Apr 2023'!P10,0,IF($C$27*$C$28&lt;=('TAS Apr 2023'!R10+'TAS Apr 2023'!P10),(($C$27*$C$28-'TAS Apr 2023'!P10)*'TAS Apr 2023'!Q10/100),(('TAS Apr 2023'!R10)*'TAS Apr 2023'!Q10/100))),0)</f>
        <v>0</v>
      </c>
      <c r="F33" s="165">
        <f>IF(AND('TAS Apr 2023'!R10&gt;0,'TAS Apr 2023'!T10&gt;0),IF(($C$27*$C$28&lt;'TAS Apr 2023'!T10),(0),($C$27*$C$246-'TAS Apr 2023'!T10)*'TAS Apr 2023'!U10/100),IF(AND('TAS Apr 2023'!R10&gt;0,'TAS Apr 2023'!T10=""),IF(($C$27*$C$28&lt;'TAS Apr 2023'!R10+'TAS Apr 2023'!P10),(0),(($C$27*$C$28-('TAS Apr 2023'!R10+'TAS Apr 2023'!P10))*'TAS Apr 2023'!S10/100)),IF(AND('TAS Apr 2023'!P10&gt;0,'TAS Apr 2023'!R10=""&gt;0),IF(($C$27*$C$28&lt;'TAS Apr 2023'!P10),(0),($C$27*$C$28-'TAS Apr 2023'!P10)*'TAS Apr 2023'!Q10/100),0)))</f>
        <v>0</v>
      </c>
      <c r="G33" s="166">
        <f>($C$27*$C$29)*'TAS Apr 2023'!AI10/100</f>
        <v>366.79999999999995</v>
      </c>
      <c r="H33" s="167">
        <f>($C$27*$C$30)*'TAS Apr 2023'!W10/100</f>
        <v>160.90909090909091</v>
      </c>
      <c r="I33" s="168">
        <f>SUM(C33:H33)</f>
        <v>999.79593636363632</v>
      </c>
      <c r="J33" s="168">
        <f>(I33-C33)*4</f>
        <v>3633.2545454545452</v>
      </c>
      <c r="K33" s="168">
        <f>I33*4</f>
        <v>3999.1837454545453</v>
      </c>
      <c r="L33" s="169">
        <f>K33*1.1</f>
        <v>4399.1021200000005</v>
      </c>
      <c r="M33" s="170">
        <f>'TAS Apr 2023'!BB10</f>
        <v>0</v>
      </c>
      <c r="N33" s="170">
        <f>'TAS Apr 2023'!BC10</f>
        <v>0</v>
      </c>
      <c r="O33" s="170">
        <f>'TAS Apr 2023'!BD10</f>
        <v>0</v>
      </c>
      <c r="P33" s="170">
        <f>'TAS Apr 2023'!BE10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69">
        <f t="shared" ref="U33:U35" si="13">IF(R33="Exclusive",S33*1.1,S33)</f>
        <v>4399.1021200000005</v>
      </c>
      <c r="V33" s="301">
        <f t="shared" ref="V33:V35" si="14">IF(R33="Exclusive",T33*1.1,T33)</f>
        <v>4399.1021200000005</v>
      </c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</row>
    <row r="34" spans="1:42" ht="14" x14ac:dyDescent="0.15">
      <c r="A34" s="133" t="str">
        <f>'TAS Apr 2023'!K11</f>
        <v>1st Energy</v>
      </c>
      <c r="B34" s="142" t="str">
        <f>'TAS Apr 2023'!L11</f>
        <v>1st Saver</v>
      </c>
      <c r="C34" s="107">
        <f>IF('TAS Apr 2023'!BP11=0,91*'TAS Apr 2023'!M11/100,(91*'TAS Apr 2023'!M11/100)+'TAS Apr 2023'!BP11/4)</f>
        <v>90.545000000000002</v>
      </c>
      <c r="D34" s="107">
        <f>IF('TAS Apr 2023'!O11="",$C$27*$C$28*'TAS Apr 2023'!N11/100,IF($C$27*$C$28&gt;='TAS Apr 2023'!P11,('TAS Apr 2023'!P11*'TAS Apr 2023'!N11/100),($C$27*$C$28*'TAS Apr 2023'!N11/100)))</f>
        <v>376.5</v>
      </c>
      <c r="E34" s="107">
        <f>IF(AND('TAS Apr 2023'!P11&gt;0,'TAS Apr 2023'!R11&gt;0),IF($C$27*$C$28&lt;'TAS Apr 2023'!P11,0,IF($C$27*$C$28&lt;=('TAS Apr 2023'!R11+'TAS Apr 2023'!P11),(($C$27*$C$28-'TAS Apr 2023'!P11)*'TAS Apr 2023'!Q11/100),(('TAS Apr 2023'!R11)*'TAS Apr 2023'!Q11/100))),0)</f>
        <v>0</v>
      </c>
      <c r="F34" s="107">
        <f>IF(AND('TAS Apr 2023'!R11&gt;0,'TAS Apr 2023'!T11&gt;0),IF(($C$27*$C$28&lt;'TAS Apr 2023'!T11),(0),($C$27*$C$246-'TAS Apr 2023'!T11)*'TAS Apr 2023'!U11/100),IF(AND('TAS Apr 2023'!R11&gt;0,'TAS Apr 2023'!T11=""),IF(($C$27*$C$28&lt;'TAS Apr 2023'!R11+'TAS Apr 2023'!P11),(0),(($C$27*$C$28-('TAS Apr 2023'!R11+'TAS Apr 2023'!P11))*'TAS Apr 2023'!S11/100)),IF(AND('TAS Apr 2023'!P11&gt;0,'TAS Apr 2023'!R11=""&gt;0),IF(($C$27*$C$28&lt;'TAS Apr 2023'!P11),(0),($C$27*$C$28-'TAS Apr 2023'!P11)*'TAS Apr 2023'!Q11/100),0)))</f>
        <v>0</v>
      </c>
      <c r="G34" s="109">
        <f>($C$27*$C$29)*'TAS Apr 2023'!AI11/100</f>
        <v>361.99999999999994</v>
      </c>
      <c r="H34" s="110">
        <f>($C$27*$C$30)*'TAS Apr 2023'!W11/100</f>
        <v>159</v>
      </c>
      <c r="I34" s="111">
        <f>SUM(C34:H34)</f>
        <v>988.04499999999996</v>
      </c>
      <c r="J34" s="111">
        <f>(I34-C34)*4</f>
        <v>3590</v>
      </c>
      <c r="K34" s="111">
        <f>I34*4</f>
        <v>3952.18</v>
      </c>
      <c r="L34" s="112">
        <f>K34*1.1</f>
        <v>4347.3980000000001</v>
      </c>
      <c r="M34" s="106">
        <f>'TAS Apr 2023'!BB11</f>
        <v>0</v>
      </c>
      <c r="N34" s="106">
        <f>'TAS Apr 2023'!BC11</f>
        <v>5</v>
      </c>
      <c r="O34" s="106">
        <f>'TAS Apr 2023'!BD11</f>
        <v>0</v>
      </c>
      <c r="P34" s="106">
        <f>'TAS Apr 2023'!BE11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12">
        <f t="shared" si="13"/>
        <v>4149.9480000000003</v>
      </c>
      <c r="V34" s="302">
        <f t="shared" si="14"/>
        <v>4149.9480000000003</v>
      </c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</row>
    <row r="35" spans="1:42" ht="15" thickBot="1" x14ac:dyDescent="0.2">
      <c r="A35" s="136" t="str">
        <f>'TAS Apr 2023'!K12</f>
        <v>Energy Locals</v>
      </c>
      <c r="B35" s="143" t="str">
        <f>'TAS Apr 2023'!L12</f>
        <v>Business Member</v>
      </c>
      <c r="C35" s="116">
        <f>IF('TAS Apr 2023'!BP12=0,91*'TAS Apr 2023'!M12/100,(91*'TAS Apr 2023'!M12/100)+'TAS Apr 2023'!BP12/4)</f>
        <v>134.37727272727273</v>
      </c>
      <c r="D35" s="116">
        <f>IF('TAS Apr 2023'!O12="",$C$27*$C$28*'TAS Apr 2023'!N12/100,IF($C$27*$C$28&gt;='TAS Apr 2023'!P12,('TAS Apr 2023'!P12*'TAS Apr 2023'!N12/100),($C$27*$C$28*'TAS Apr 2023'!N12/100)))</f>
        <v>381.81818181818176</v>
      </c>
      <c r="E35" s="116">
        <f>IF(AND('TAS Apr 2023'!P12&gt;0,'TAS Apr 2023'!R12&gt;0),IF($C$27*$C$28&lt;'TAS Apr 2023'!P12,0,IF($C$27*$C$28&lt;=('TAS Apr 2023'!R12+'TAS Apr 2023'!P12),(($C$27*$C$28-'TAS Apr 2023'!P12)*'TAS Apr 2023'!Q12/100),(('TAS Apr 2023'!R12)*'TAS Apr 2023'!Q12/100))),0)</f>
        <v>0</v>
      </c>
      <c r="F35" s="116">
        <f>IF(AND('TAS Apr 2023'!R12&gt;0,'TAS Apr 2023'!T12&gt;0),IF(($C$27*$C$28&lt;'TAS Apr 2023'!T12),(0),($C$27*$C$246-'TAS Apr 2023'!T12)*'TAS Apr 2023'!U12/100),IF(AND('TAS Apr 2023'!R12&gt;0,'TAS Apr 2023'!T12=""),IF(($C$27*$C$28&lt;'TAS Apr 2023'!R12+'TAS Apr 2023'!P12),(0),(($C$27*$C$28-('TAS Apr 2023'!R12+'TAS Apr 2023'!P12))*'TAS Apr 2023'!S12/100)),IF(AND('TAS Apr 2023'!P12&gt;0,'TAS Apr 2023'!R12=""&gt;0),IF(($C$27*$C$28&lt;'TAS Apr 2023'!P12),(0),($C$27*$C$28-'TAS Apr 2023'!P12)*'TAS Apr 2023'!Q12/100),0)))</f>
        <v>0</v>
      </c>
      <c r="G35" s="118">
        <f>($C$27*$C$29)*'TAS Apr 2023'!AI12/100</f>
        <v>427.27272727272725</v>
      </c>
      <c r="H35" s="119">
        <f>($C$27*$C$30)*'TAS Apr 2023'!W12/100</f>
        <v>252.27272727272725</v>
      </c>
      <c r="I35" s="120">
        <f t="shared" ref="I35" si="15">SUM(C35:H35)</f>
        <v>1195.7409090909091</v>
      </c>
      <c r="J35" s="120">
        <f t="shared" ref="J35" si="16">(I35-C35)*4</f>
        <v>4245.454545454546</v>
      </c>
      <c r="K35" s="120">
        <f t="shared" ref="K35" si="17">I35*4</f>
        <v>4782.9636363636364</v>
      </c>
      <c r="L35" s="121">
        <f t="shared" ref="L35" si="18">K35*1.1</f>
        <v>5261.26</v>
      </c>
      <c r="M35" s="115">
        <f>'TAS Apr 2023'!BB12</f>
        <v>0</v>
      </c>
      <c r="N35" s="115">
        <f>'TAS Apr 2023'!BC12</f>
        <v>0</v>
      </c>
      <c r="O35" s="115">
        <f>'TAS Apr 2023'!BD12</f>
        <v>0</v>
      </c>
      <c r="P35" s="115">
        <f>'TAS Apr 2023'!BE12</f>
        <v>0</v>
      </c>
      <c r="Q35" s="115" t="str">
        <f t="shared" ref="Q35" si="19">IF(SUM(M35:P35)=0,"No discount",IF(M35&gt;0,"Guaranteed off bill",IF(N35&gt;0,"Guaranteed off usage",IF(O35&gt;0,"Pay-on-time off bill","Pay-on-time off usage"))))</f>
        <v>No discount</v>
      </c>
      <c r="R35" s="115" t="str">
        <f t="shared" si="12"/>
        <v>Exclusive</v>
      </c>
      <c r="S35" s="201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02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21">
        <f t="shared" si="13"/>
        <v>5261.26</v>
      </c>
      <c r="V35" s="303">
        <f t="shared" si="14"/>
        <v>5261.26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</row>
    <row r="36" spans="1:42" ht="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8"/>
      <c r="U36" s="238"/>
      <c r="V36" s="238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</row>
    <row r="37" spans="1:42" ht="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8"/>
      <c r="U37" s="238"/>
      <c r="V37" s="238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</row>
    <row r="38" spans="1:42" ht="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8"/>
      <c r="U38" s="238"/>
      <c r="V38" s="238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</row>
    <row r="39" spans="1:42" ht="14" x14ac:dyDescent="0.1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8"/>
      <c r="U39" s="238"/>
      <c r="V39" s="238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</row>
    <row r="40" spans="1:42" ht="14" x14ac:dyDescent="0.15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8"/>
      <c r="U40" s="238"/>
      <c r="V40" s="238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</row>
    <row r="41" spans="1:42" ht="14" x14ac:dyDescent="0.1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8"/>
      <c r="U41" s="238"/>
      <c r="V41" s="238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</row>
    <row r="42" spans="1:42" ht="14" x14ac:dyDescent="0.15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8"/>
      <c r="U42" s="238"/>
      <c r="V42" s="238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</row>
    <row r="43" spans="1:42" ht="14" x14ac:dyDescent="0.15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8"/>
      <c r="U43" s="238"/>
      <c r="V43" s="238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</row>
    <row r="44" spans="1:42" ht="14" x14ac:dyDescent="0.15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8"/>
      <c r="U44" s="238"/>
      <c r="V44" s="238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</row>
    <row r="45" spans="1:42" ht="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8"/>
      <c r="U45" s="238"/>
      <c r="V45" s="238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</row>
    <row r="46" spans="1:42" ht="14" x14ac:dyDescent="0.15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8"/>
      <c r="U46" s="238"/>
      <c r="V46" s="238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</row>
    <row r="47" spans="1:42" ht="14" x14ac:dyDescent="0.15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8"/>
      <c r="U47" s="238"/>
      <c r="V47" s="238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</row>
    <row r="48" spans="1:42" ht="14" x14ac:dyDescent="0.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8"/>
      <c r="U48" s="238"/>
      <c r="V48" s="238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</row>
    <row r="49" spans="1:42" ht="14" x14ac:dyDescent="0.15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8"/>
      <c r="U49" s="238"/>
      <c r="V49" s="238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</row>
    <row r="50" spans="1:42" ht="14" x14ac:dyDescent="0.15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8"/>
      <c r="U50" s="238"/>
      <c r="V50" s="238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</row>
    <row r="51" spans="1:42" ht="14" x14ac:dyDescent="0.15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8"/>
      <c r="U51" s="238"/>
      <c r="V51" s="238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</row>
    <row r="52" spans="1:42" ht="14" x14ac:dyDescent="0.15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8"/>
      <c r="U52" s="238"/>
      <c r="V52" s="238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</row>
    <row r="53" spans="1:42" ht="14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91"/>
      <c r="U53" s="291"/>
      <c r="V53" s="291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</row>
    <row r="54" spans="1:42" ht="14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91"/>
      <c r="U54" s="291"/>
      <c r="V54" s="291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</row>
    <row r="55" spans="1:42" ht="14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91"/>
      <c r="U55" s="291"/>
      <c r="V55" s="291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</row>
    <row r="56" spans="1:42" ht="14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91"/>
      <c r="U56" s="291"/>
      <c r="V56" s="291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14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91"/>
      <c r="U57" s="291"/>
      <c r="V57" s="291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</row>
    <row r="58" spans="1:42" ht="14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91"/>
      <c r="U58" s="291"/>
      <c r="V58" s="291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</row>
    <row r="59" spans="1:42" ht="14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91"/>
      <c r="U59" s="291"/>
      <c r="V59" s="291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</row>
    <row r="60" spans="1:42" ht="14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91"/>
      <c r="U60" s="291"/>
      <c r="V60" s="291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</row>
  </sheetData>
  <sheetProtection algorithmName="SHA-512" hashValue="aXgwsmiXz5JFyFcWNFu/TPlW5R1lPQKP6g5kY1JhWCP2FVH37WuJM+Tx+JuQ/H7jwEbx6qna6Fx/8ySdzatgQw==" saltValue="4yBVEX8VAhbCdIznvozlDQ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220-06AD-6A4A-87A3-A33CD34CDDA8}">
  <sheetPr codeName="Sheet26">
    <tabColor theme="9" tint="0.39997558519241921"/>
  </sheetPr>
  <dimension ref="A1:AR60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96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</row>
    <row r="2" spans="1:44" ht="14" x14ac:dyDescent="0.15">
      <c r="A2" s="98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15" thickBot="1" x14ac:dyDescent="0.2">
      <c r="A3" s="96"/>
      <c r="B3" s="96"/>
      <c r="C3" s="96"/>
      <c r="D3" s="96"/>
      <c r="E3" s="96"/>
      <c r="F3" s="96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</row>
    <row r="8" spans="1:44" ht="14" x14ac:dyDescent="0.15">
      <c r="A8" s="163" t="str">
        <f>'TAS Oct 2022'!K2</f>
        <v>Aurora Energy</v>
      </c>
      <c r="B8" s="164" t="str">
        <f>'TAS Oct 2022'!L2</f>
        <v>Regulated</v>
      </c>
      <c r="C8" s="165">
        <f>IF('TAS Oct 2022'!BP2=0,91*'TAS Oct 2022'!M2/100,(91*'TAS Oct 2022'!M2/100)+'TAS Oct 2022'!BP2/4)</f>
        <v>84.45544545454544</v>
      </c>
      <c r="D8" s="165">
        <f>IF('TAS Oct 2022'!O2="",$C$5*'TAS Oct 2022'!N2/100,IF($C$5&gt;='TAS Oct 2022'!P2,('TAS Oct 2022'!P2*'TAS Oct 2022'!N2/100),($C$5*'TAS Oct 2022'!N2/100)))</f>
        <v>154.17272727272726</v>
      </c>
      <c r="E8" s="165">
        <f>IF(AND('TAS Oct 2022'!P2&gt;0,'TAS Oct 2022'!R2&gt;0),IF($C$5&lt;'TAS Oct 2022'!P2,0,IF($C$5&lt;=('TAS Oct 2022'!R2+'TAS Oct 2022'!P2),(($C$5-'TAS Oct 2022'!P2)*'TAS Oct 2022'!Q2/100),(('TAS Oct 2022'!R2)*'TAS Oct 2022'!Q2/100))),0)</f>
        <v>0</v>
      </c>
      <c r="F8" s="165">
        <f>IF(AND('TAS Oct 2022'!Q2&gt;0,'TAS Oct 2022'!S2&gt;0),IF($C$5&lt;('TAS Oct 2022'!R2+'TAS Oct 2022'!P2),0,IF($C$5&lt;=('TAS Oct 2022'!T2+'TAS Oct 2022'!R2+'TAS Oct 2022'!P2),(($C$5-('TAS Oct 2022'!R2+'TAS Oct 2022'!P2))*'TAS Oct 2022'!S2/100),('TAS Oct 2022'!T2*'TAS Oct 2022'!S2/100))),0)</f>
        <v>0</v>
      </c>
      <c r="G8" s="166">
        <v>0</v>
      </c>
      <c r="H8" s="165">
        <f>IF(AND('TAS Oct 2022'!R2&gt;0,'TAS Oct 2022'!T2&gt;0),IF(($C$5&lt;'TAS Oct 2022'!T2),(0),($C$5-'TAS Oct 2022'!T2)*'TAS Oct 2022'!U2/100),IF(AND('TAS Oct 2022'!R2&gt;0,'TAS Oct 2022'!T2=""),IF(($C$5&lt;'TAS Oct 2022'!R2+'TAS Oct 2022'!P2),(0),(($C$5-('TAS Oct 2022'!R2+'TAS Oct 2022'!P2))*'TAS Oct 2022'!S2/100)),IF(AND('TAS Oct 2022'!P2&gt;0,'TAS Oct 2022'!R2=""&gt;0),IF(($C$5&lt;'TAS Oct 2022'!P2),(0),($C$5-'TAS Oct 2022'!P2)*'TAS Oct 2022'!Q2/100),0)))</f>
        <v>1026.409090909091</v>
      </c>
      <c r="I8" s="168">
        <f>SUM(C8:H8)</f>
        <v>1265.0372636363636</v>
      </c>
      <c r="J8" s="168">
        <f>(I8-C8)*4</f>
        <v>4722.3272727272724</v>
      </c>
      <c r="K8" s="168">
        <f>I8*4</f>
        <v>5060.1490545454544</v>
      </c>
      <c r="L8" s="169">
        <f>K8*1.1</f>
        <v>5566.1639599999999</v>
      </c>
      <c r="M8" s="170">
        <f>'TAS Oct 2022'!BB2</f>
        <v>0</v>
      </c>
      <c r="N8" s="170">
        <f>'TAS Oct 2022'!BC2</f>
        <v>0</v>
      </c>
      <c r="O8" s="170">
        <f>'TAS Oct 2022'!BD2</f>
        <v>0</v>
      </c>
      <c r="P8" s="170">
        <f>'TAS Oct 2022'!BE2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69">
        <f t="shared" ref="U8:V11" si="1">S8*1.1</f>
        <v>5566.1639599999999</v>
      </c>
      <c r="V8" s="169">
        <f t="shared" si="1"/>
        <v>5566.1639599999999</v>
      </c>
      <c r="W8" s="171">
        <f>'TAS Oct 2022'!BQ2</f>
        <v>0</v>
      </c>
      <c r="X8" s="172">
        <f>'TAS Oct 2022'!BN2</f>
        <v>0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ht="14" x14ac:dyDescent="0.15">
      <c r="A9" s="133" t="str">
        <f>'TAS Oct 2022'!K3</f>
        <v>1st Energy</v>
      </c>
      <c r="B9" s="142" t="str">
        <f>'TAS Oct 2022'!L3</f>
        <v>1st Saver</v>
      </c>
      <c r="C9" s="107">
        <f>IF('TAS Oct 2022'!BP3=0,91*'TAS Oct 2022'!M3/100,(91*'TAS Oct 2022'!M3/100)+'TAS Oct 2022'!BP3/4)</f>
        <v>83.537999999999997</v>
      </c>
      <c r="D9" s="107">
        <f>IF('TAS Oct 2022'!O3="",$C$5*'TAS Oct 2022'!N3/100,IF($C$5&gt;='TAS Oct 2022'!P3,('TAS Oct 2022'!P3*'TAS Oct 2022'!N3/100),($C$5*'TAS Oct 2022'!N3/100)))</f>
        <v>152.49999999999997</v>
      </c>
      <c r="E9" s="107">
        <f>IF(AND('TAS Oct 2022'!P3&gt;0,'TAS Oct 2022'!R3&gt;0),IF($C$5&lt;'TAS Oct 2022'!P3,0,IF($C$5&lt;=('TAS Oct 2022'!R3+'TAS Oct 2022'!P3),(($C$5-'TAS Oct 2022'!P3)*'TAS Oct 2022'!Q3/100),(('TAS Oct 2022'!R3)*'TAS Oct 2022'!Q3/100))),0)</f>
        <v>0</v>
      </c>
      <c r="F9" s="107">
        <f>IF(AND('TAS Oct 2022'!Q3&gt;0,'TAS Oct 2022'!S3&gt;0),IF($C$5&lt;('TAS Oct 2022'!R3+'TAS Oct 2022'!P3),0,IF($C$5&lt;=('TAS Oct 2022'!T3+'TAS Oct 2022'!R3+'TAS Oct 2022'!P3),(($C$5-('TAS Oct 2022'!R3+'TAS Oct 2022'!P3))*'TAS Oct 2022'!S3/100),('TAS Oct 2022'!T3*'TAS Oct 2022'!S3/100))),0)</f>
        <v>0</v>
      </c>
      <c r="G9" s="109">
        <v>0</v>
      </c>
      <c r="H9" s="107">
        <f>IF(AND('TAS Oct 2022'!R3&gt;0,'TAS Oct 2022'!T3&gt;0),IF(($C$5&lt;'TAS Oct 2022'!T3),(0),($C$5-'TAS Oct 2022'!T3)*'TAS Oct 2022'!U3/100),IF(AND('TAS Oct 2022'!R3&gt;0,'TAS Oct 2022'!T3=""),IF(($C$5&lt;'TAS Oct 2022'!R3+'TAS Oct 2022'!P3),(0),(($C$5-('TAS Oct 2022'!R3+'TAS Oct 2022'!P3))*'TAS Oct 2022'!S3/100)),IF(AND('TAS Oct 2022'!P3&gt;0,'TAS Oct 2022'!R3=""&gt;0),IF(($C$5&lt;'TAS Oct 2022'!P3),(0),($C$5-'TAS Oct 2022'!P3)*'TAS Oct 2022'!Q3/100),0)))</f>
        <v>1012.4999999999999</v>
      </c>
      <c r="I9" s="111">
        <f>SUM(C9:H9)</f>
        <v>1248.5379999999998</v>
      </c>
      <c r="J9" s="111">
        <f>(I9-C9)*4</f>
        <v>4659.9999999999991</v>
      </c>
      <c r="K9" s="111">
        <f>I9*4</f>
        <v>4994.1519999999991</v>
      </c>
      <c r="L9" s="112">
        <f>K9*1.1</f>
        <v>5493.5671999999995</v>
      </c>
      <c r="M9" s="106">
        <f>'TAS Oct 2022'!BB3</f>
        <v>0</v>
      </c>
      <c r="N9" s="106">
        <f>'TAS Oct 2022'!BC3</f>
        <v>5</v>
      </c>
      <c r="O9" s="106">
        <f>'TAS Oct 2022'!BD3</f>
        <v>0</v>
      </c>
      <c r="P9" s="106">
        <f>'TAS Oct 2022'!BE3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12">
        <f t="shared" si="1"/>
        <v>5237.2671999999993</v>
      </c>
      <c r="V9" s="112">
        <f t="shared" si="1"/>
        <v>5237.2671999999993</v>
      </c>
      <c r="W9" s="266">
        <f>'TAS Oct 2022'!BQ3</f>
        <v>0</v>
      </c>
      <c r="X9" s="267">
        <f>'TAS Oct 2022'!BN3</f>
        <v>12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14" x14ac:dyDescent="0.15">
      <c r="A10" s="133" t="str">
        <f>'TAS Oct 2022'!K4</f>
        <v>CovaU</v>
      </c>
      <c r="B10" s="142" t="str">
        <f>'TAS Oct 2022'!L4</f>
        <v>Freedom</v>
      </c>
      <c r="C10" s="107">
        <f>IF('TAS Oct 2022'!BP4=0,91*'TAS Oct 2022'!M4/100,(91*'TAS Oct 2022'!M4/100)+'TAS Oct 2022'!BP4/4)</f>
        <v>92.82</v>
      </c>
      <c r="D10" s="107">
        <f>IF('TAS Oct 2022'!O4="",$C$5*'TAS Oct 2022'!N4/100,IF($C$5&gt;='TAS Oct 2022'!P4,('TAS Oct 2022'!P4*'TAS Oct 2022'!N4/100),($C$5*'TAS Oct 2022'!N4/100)))</f>
        <v>177.81818181818176</v>
      </c>
      <c r="E10" s="107">
        <f>IF(AND('TAS Oct 2022'!P4&gt;0,'TAS Oct 2022'!R4&gt;0),IF($C$5&lt;'TAS Oct 2022'!P4,0,IF($C$5&lt;=('TAS Oct 2022'!R4+'TAS Oct 2022'!P4),(($C$5-'TAS Oct 2022'!P4)*'TAS Oct 2022'!Q4/100),(('TAS Oct 2022'!R4)*'TAS Oct 2022'!Q4/100))),0)</f>
        <v>0</v>
      </c>
      <c r="F10" s="107">
        <f>IF(AND('TAS Oct 2022'!Q4&gt;0,'TAS Oct 2022'!S4&gt;0),IF($C$5&lt;('TAS Oct 2022'!R4+'TAS Oct 2022'!P4),0,IF($C$5&lt;=('TAS Oct 2022'!T4+'TAS Oct 2022'!R4+'TAS Oct 2022'!P4),(($C$5-('TAS Oct 2022'!R4+'TAS Oct 2022'!P4))*'TAS Oct 2022'!S4/100),('TAS Oct 2022'!T4*'TAS Oct 2022'!S4/100))),0)</f>
        <v>0</v>
      </c>
      <c r="G10" s="109">
        <v>0</v>
      </c>
      <c r="H10" s="107">
        <f>IF(AND('TAS Oct 2022'!R4&gt;0,'TAS Oct 2022'!T4&gt;0),IF(($C$5&lt;'TAS Oct 2022'!T4),(0),($C$5-'TAS Oct 2022'!T4)*'TAS Oct 2022'!U4/100),IF(AND('TAS Oct 2022'!R4&gt;0,'TAS Oct 2022'!T4=""),IF(($C$5&lt;'TAS Oct 2022'!R4+'TAS Oct 2022'!P4),(0),(($C$5-('TAS Oct 2022'!R4+'TAS Oct 2022'!P4))*'TAS Oct 2022'!S4/100)),IF(AND('TAS Oct 2022'!P4&gt;0,'TAS Oct 2022'!R4=""&gt;0),IF(($C$5&lt;'TAS Oct 2022'!P4),(0),($C$5-'TAS Oct 2022'!P4)*'TAS Oct 2022'!Q4/100),0)))</f>
        <v>1457.590909090909</v>
      </c>
      <c r="I10" s="111">
        <f t="shared" ref="I10:I11" si="2">SUM(C10:H10)</f>
        <v>1728.2290909090907</v>
      </c>
      <c r="J10" s="111">
        <f t="shared" ref="J10:J11" si="3">(I10-C10)*4</f>
        <v>6541.6363636363631</v>
      </c>
      <c r="K10" s="111">
        <f t="shared" ref="K10:K11" si="4">I10*4</f>
        <v>6912.9163636363628</v>
      </c>
      <c r="L10" s="112">
        <f t="shared" ref="L10:L11" si="5">K10*1.1</f>
        <v>7604.2079999999996</v>
      </c>
      <c r="M10" s="106">
        <f>'TAS Oct 2022'!BB4</f>
        <v>0</v>
      </c>
      <c r="N10" s="106">
        <f>'TAS Oct 2022'!BC4</f>
        <v>5</v>
      </c>
      <c r="O10" s="106">
        <f>'TAS Oct 2022'!BD4</f>
        <v>0</v>
      </c>
      <c r="P10" s="106">
        <f>'TAS Oct 2022'!BE4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12">
        <f t="shared" si="1"/>
        <v>7244.4179999999997</v>
      </c>
      <c r="V10" s="112">
        <f t="shared" si="1"/>
        <v>7244.4179999999997</v>
      </c>
      <c r="W10" s="266">
        <f>'TAS Oct 2022'!BQ4</f>
        <v>0</v>
      </c>
      <c r="X10" s="267">
        <f>'TAS Oct 2022'!BN4</f>
        <v>0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11" spans="1:44" ht="14" x14ac:dyDescent="0.15">
      <c r="A11" s="133" t="str">
        <f>'TAS Oct 2022'!K5</f>
        <v>Energy Locals</v>
      </c>
      <c r="B11" s="142" t="str">
        <f>'TAS Oct 2022'!L5</f>
        <v>Business Member</v>
      </c>
      <c r="C11" s="107">
        <f>IF('TAS Oct 2022'!BP5=0,91*'TAS Oct 2022'!M5/100,(91*'TAS Oct 2022'!M5/100)+'TAS Oct 2022'!BP5/4)</f>
        <v>120.31363636363635</v>
      </c>
      <c r="D11" s="107">
        <f>IF('TAS Oct 2022'!O5="",$C$5*'TAS Oct 2022'!N5/100,IF($C$5&gt;='TAS Oct 2022'!P5,('TAS Oct 2022'!P5*'TAS Oct 2022'!N5/100),($C$5*'TAS Oct 2022'!N5/100)))</f>
        <v>120.45454545454544</v>
      </c>
      <c r="E11" s="107">
        <f>IF(AND('TAS Oct 2022'!P5&gt;0,'TAS Oct 2022'!R5&gt;0),IF($C$5&lt;'TAS Oct 2022'!P5,0,IF($C$5&lt;=('TAS Oct 2022'!R5+'TAS Oct 2022'!P5),(($C$5-'TAS Oct 2022'!P5)*'TAS Oct 2022'!Q5/100),(('TAS Oct 2022'!R5)*'TAS Oct 2022'!Q5/100))),0)</f>
        <v>0</v>
      </c>
      <c r="F11" s="107">
        <f>IF(AND('TAS Oct 2022'!Q5&gt;0,'TAS Oct 2022'!S5&gt;0),IF($C$5&lt;('TAS Oct 2022'!R5+'TAS Oct 2022'!P5),0,IF($C$5&lt;=('TAS Oct 2022'!T5+'TAS Oct 2022'!R5+'TAS Oct 2022'!P5),(($C$5-('TAS Oct 2022'!R5+'TAS Oct 2022'!P5))*'TAS Oct 2022'!S5/100),('TAS Oct 2022'!T5*'TAS Oct 2022'!S5/100))),0)</f>
        <v>0</v>
      </c>
      <c r="G11" s="109">
        <v>0</v>
      </c>
      <c r="H11" s="107">
        <f>IF(AND('TAS Oct 2022'!R5&gt;0,'TAS Oct 2022'!T5&gt;0),IF(($C$5&lt;'TAS Oct 2022'!T5),(0),($C$5-'TAS Oct 2022'!T5)*'TAS Oct 2022'!U5/100),IF(AND('TAS Oct 2022'!R5&gt;0,'TAS Oct 2022'!T5=""),IF(($C$5&lt;'TAS Oct 2022'!R5+'TAS Oct 2022'!P5),(0),(($C$5-('TAS Oct 2022'!R5+'TAS Oct 2022'!P5))*'TAS Oct 2022'!S5/100)),IF(AND('TAS Oct 2022'!P5&gt;0,'TAS Oct 2022'!R5=""&gt;0),IF(($C$5&lt;'TAS Oct 2022'!P5),(0),($C$5-'TAS Oct 2022'!P5)*'TAS Oct 2022'!Q5/100),0)))</f>
        <v>1084.090909090909</v>
      </c>
      <c r="I11" s="111">
        <f t="shared" si="2"/>
        <v>1324.8590909090908</v>
      </c>
      <c r="J11" s="111">
        <f t="shared" si="3"/>
        <v>4818.181818181818</v>
      </c>
      <c r="K11" s="111">
        <f t="shared" si="4"/>
        <v>5299.4363636363632</v>
      </c>
      <c r="L11" s="112">
        <f t="shared" si="5"/>
        <v>5829.38</v>
      </c>
      <c r="M11" s="106">
        <f>'TAS Oct 2022'!BB5</f>
        <v>0</v>
      </c>
      <c r="N11" s="106">
        <f>'TAS Oct 2022'!BC5</f>
        <v>0</v>
      </c>
      <c r="O11" s="106">
        <f>'TAS Oct 2022'!BD5</f>
        <v>0</v>
      </c>
      <c r="P11" s="106">
        <f>'TAS Oct 2022'!BE5</f>
        <v>0</v>
      </c>
      <c r="Q11" s="106" t="str">
        <f t="shared" si="6"/>
        <v>No discount</v>
      </c>
      <c r="R11" s="106" t="str">
        <f t="shared" si="0"/>
        <v>Exclusive</v>
      </c>
      <c r="S11" s="248">
        <f t="shared" si="7"/>
        <v>5299.4363636363632</v>
      </c>
      <c r="T11" s="249">
        <f t="shared" si="8"/>
        <v>5299.4363636363632</v>
      </c>
      <c r="U11" s="112">
        <f t="shared" si="1"/>
        <v>5829.38</v>
      </c>
      <c r="V11" s="112">
        <f t="shared" si="1"/>
        <v>5829.38</v>
      </c>
      <c r="W11" s="266">
        <f>'TAS Oct 2022'!BQ5</f>
        <v>0</v>
      </c>
      <c r="X11" s="267">
        <f>'TAS Oct 2022'!BN5</f>
        <v>0</v>
      </c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</row>
    <row r="12" spans="1:44" ht="14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100"/>
      <c r="U12" s="100"/>
      <c r="V12" s="100"/>
      <c r="W12" s="100"/>
      <c r="X12" s="100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4" ht="15" thickBot="1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100"/>
      <c r="U13" s="100"/>
      <c r="V13" s="100"/>
      <c r="W13" s="100"/>
      <c r="X13" s="100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4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44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44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1:44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</row>
    <row r="18" spans="1:44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</row>
    <row r="19" spans="1:44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127" t="s">
        <v>26</v>
      </c>
      <c r="W19" s="126" t="s">
        <v>68</v>
      </c>
      <c r="X19" s="128" t="s">
        <v>95</v>
      </c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</row>
    <row r="20" spans="1:44" ht="14" x14ac:dyDescent="0.15">
      <c r="A20" s="163" t="str">
        <f>'TAS Oct 2022'!K6</f>
        <v>Aurora Energy</v>
      </c>
      <c r="B20" s="164" t="str">
        <f>'TAS Oct 2022'!L6</f>
        <v>Regulated</v>
      </c>
      <c r="C20" s="165">
        <f>IF('TAS Oct 2022'!BP6=0,91*'TAS Oct 2022'!M6/100,(91*'TAS Oct 2022'!M6/100)+'TAS Oct 2022'!BP6/4)</f>
        <v>99.594536363636365</v>
      </c>
      <c r="D20" s="165">
        <f>IF('TAS Oct 2022'!O6="",$C$15*$C$16*'TAS Oct 2022'!N6/100,IF($C$15*$C$16&gt;='TAS Oct 2022'!P6,('TAS Oct 2022'!P6*'TAS Oct 2022'!N6/100),($C$15*$C$16*'TAS Oct 2022'!N6/100)))</f>
        <v>154.17272727272726</v>
      </c>
      <c r="E20" s="165">
        <f>IF(AND('TAS Oct 2022'!P6&gt;0,'TAS Oct 2022'!R6&gt;0),IF($C$15*$C$16&lt;'TAS Oct 2022'!P6,0,IF($C$15*$C$16&lt;=('TAS Oct 2022'!R6+'TAS Oct 2022'!P6),(($C$15*$C$16-'TAS Oct 2022'!P6)*'TAS Oct 2022'!Q6/100),(('TAS Oct 2022'!R6)*'TAS Oct 2022'!Q6/100))),0)</f>
        <v>0</v>
      </c>
      <c r="F20" s="165">
        <f>IF(AND('TAS Oct 2022'!Q2&gt;0,'TAS Oct 2022'!S2&gt;0),IF($C$15*$C$16&lt;('TAS Oct 2022'!R2+'TAS Oct 2022'!P2),0,IF($C$15*$C$16&lt;=('TAS Oct 2022'!T2+'TAS Oct 2022'!R2+'TAS Oct 2022'!P2),(($C$15*$C$16-('TAS Oct 2022'!R2+'TAS Oct 2022'!P2))*'TAS Oct 2022'!S2/100),('TAS Oct 2022'!T2*'TAS Oct 2022'!S2/100))),0)</f>
        <v>0</v>
      </c>
      <c r="G20" s="165">
        <f>IF(AND('TAS Oct 2022'!R6&gt;0,'TAS Oct 2022'!T6&gt;0),IF(($C$15*$C$16&lt;'TAS Oct 2022'!T6),(0),($C$15*$C$16-'TAS Oct 2022'!T6)*'TAS Oct 2022'!U6/100),IF(AND('TAS Oct 2022'!R6&gt;0,'TAS Oct 2022'!T6=""),IF(($C$15*$C$16&lt;'TAS Oct 2022'!R6+'TAS Oct 2022'!P6),(0),(($C$15*$C$16-('TAS Oct 2022'!R6+'TAS Oct 2022'!P6))*'TAS Oct 2022'!S6/100)),IF(AND('TAS Oct 2022'!P6&gt;0,'TAS Oct 2022'!R6=""&gt;0),IF(($C$15*$C$16&lt;'TAS Oct 2022'!P6),(0),($C$15*$C$16-'TAS Oct 2022'!P6)*'TAS Oct 2022'!Q6/100),0)))</f>
        <v>684.27272727272725</v>
      </c>
      <c r="H20" s="167">
        <f>($C$15*$C$17)*'TAS Oct 2022'!AF6/100</f>
        <v>219.1363636363636</v>
      </c>
      <c r="I20" s="168">
        <f>SUM(C20:H20)</f>
        <v>1157.1763545454544</v>
      </c>
      <c r="J20" s="168">
        <f>(I20-C20)*4</f>
        <v>4230.3272727272724</v>
      </c>
      <c r="K20" s="168">
        <f>I20*4</f>
        <v>4628.7054181818175</v>
      </c>
      <c r="L20" s="169">
        <f>K20*1.1</f>
        <v>5091.5759600000001</v>
      </c>
      <c r="M20" s="170">
        <f>'TAS Oct 2022'!BB6</f>
        <v>0</v>
      </c>
      <c r="N20" s="170">
        <f>'TAS Oct 2022'!BC6</f>
        <v>0</v>
      </c>
      <c r="O20" s="170">
        <f>'TAS Oct 2022'!BD6</f>
        <v>0</v>
      </c>
      <c r="P20" s="170">
        <f>'TAS Oct 2022'!BE6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69">
        <f t="shared" ref="U20:U23" si="10">IF(R20="Exclusive",S20*1.1,S20)</f>
        <v>5091.5759600000001</v>
      </c>
      <c r="V20" s="169">
        <f t="shared" ref="V20:V23" si="11">IF(R20="Exclusive",T20*1.1,T20)</f>
        <v>5091.5759600000001</v>
      </c>
      <c r="W20" s="134">
        <f>'TAS Oct 2022'!BQ6</f>
        <v>0</v>
      </c>
      <c r="X20" s="267">
        <f>'TAS Oct 2022'!BN6</f>
        <v>0</v>
      </c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</row>
    <row r="21" spans="1:44" ht="14" x14ac:dyDescent="0.15">
      <c r="A21" s="133" t="str">
        <f>'TAS Oct 2022'!K7</f>
        <v>1st Energy</v>
      </c>
      <c r="B21" s="142" t="str">
        <f>'TAS Oct 2022'!L7</f>
        <v>1st Saver</v>
      </c>
      <c r="C21" s="107">
        <f>IF('TAS Oct 2022'!BP7=0,91*'TAS Oct 2022'!M7/100,(91*'TAS Oct 2022'!M7/100)+'TAS Oct 2022'!BP7/4)</f>
        <v>101.374</v>
      </c>
      <c r="D21" s="107">
        <f>IF('TAS Oct 2022'!O7="",$C$15*$C$16*'TAS Oct 2022'!N7/100,IF($C$15*$C$16&gt;='TAS Oct 2022'!P7,('TAS Oct 2022'!P7*'TAS Oct 2022'!N7/100),($C$15*$C$16*'TAS Oct 2022'!N7/100)))</f>
        <v>152.49999999999997</v>
      </c>
      <c r="E21" s="107">
        <f>IF(AND('TAS Oct 2022'!P7&gt;0,'TAS Oct 2022'!R7&gt;0),IF($C$15*$C$16&lt;'TAS Oct 2022'!P7,0,IF($C$15*$C$16&lt;=('TAS Oct 2022'!R7+'TAS Oct 2022'!P7),(($C$15*$C$16-'TAS Oct 2022'!P7)*'TAS Oct 2022'!Q7/100),(('TAS Oct 2022'!R7)*'TAS Oct 2022'!Q7/100))),0)</f>
        <v>0</v>
      </c>
      <c r="F21" s="107">
        <f>IF(AND('TAS Oct 2022'!Q3&gt;0,'TAS Oct 2022'!S3&gt;0),IF($C$15*$C$16&lt;('TAS Oct 2022'!R3+'TAS Oct 2022'!P3),0,IF($C$15*$C$16&lt;=('TAS Oct 2022'!T3+'TAS Oct 2022'!R3+'TAS Oct 2022'!P3),(($C$15*$C$16-('TAS Oct 2022'!R3+'TAS Oct 2022'!P3))*'TAS Oct 2022'!S3/100),('TAS Oct 2022'!T3*'TAS Oct 2022'!S3/100))),0)</f>
        <v>0</v>
      </c>
      <c r="G21" s="107">
        <f>IF(AND('TAS Oct 2022'!R7&gt;0,'TAS Oct 2022'!T7&gt;0),IF(($C$15*$C$16&lt;'TAS Oct 2022'!T7),(0),($C$15*$C$16-'TAS Oct 2022'!T7)*'TAS Oct 2022'!U7/100),IF(AND('TAS Oct 2022'!R7&gt;0,'TAS Oct 2022'!T7=""),IF(($C$15*$C$16&lt;'TAS Oct 2022'!R7+'TAS Oct 2022'!P7),(0),(($C$15*$C$16-('TAS Oct 2022'!R7+'TAS Oct 2022'!P7))*'TAS Oct 2022'!S7/100)),IF(AND('TAS Oct 2022'!P7&gt;0,'TAS Oct 2022'!R7=""&gt;0),IF(($C$15*$C$16&lt;'TAS Oct 2022'!P7),(0),($C$15*$C$16-'TAS Oct 2022'!P7)*'TAS Oct 2022'!Q7/100),0)))</f>
        <v>674.99999999999989</v>
      </c>
      <c r="H21" s="110">
        <f>($C$15*$C$17)*'TAS Oct 2022'!AF7/100</f>
        <v>183</v>
      </c>
      <c r="I21" s="111">
        <f>SUM(C21:H21)</f>
        <v>1111.8739999999998</v>
      </c>
      <c r="J21" s="111">
        <f>(I21-C21)*4</f>
        <v>4041.9999999999991</v>
      </c>
      <c r="K21" s="111">
        <f>I21*4</f>
        <v>4447.4959999999992</v>
      </c>
      <c r="L21" s="112">
        <f>K21*1.1</f>
        <v>4892.2455999999993</v>
      </c>
      <c r="M21" s="106">
        <f>'TAS Oct 2022'!BB7</f>
        <v>0</v>
      </c>
      <c r="N21" s="106">
        <f>'TAS Oct 2022'!BC7</f>
        <v>5</v>
      </c>
      <c r="O21" s="106">
        <f>'TAS Oct 2022'!BD7</f>
        <v>0</v>
      </c>
      <c r="P21" s="106">
        <f>'TAS Oct 2022'!BE7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12">
        <f t="shared" si="10"/>
        <v>4669.9355999999989</v>
      </c>
      <c r="V21" s="112">
        <f t="shared" si="11"/>
        <v>4669.9355999999989</v>
      </c>
      <c r="W21" s="134">
        <f>'TAS Oct 2022'!BQ7</f>
        <v>0</v>
      </c>
      <c r="X21" s="267">
        <f>'TAS Oct 2022'!BN7</f>
        <v>12</v>
      </c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</row>
    <row r="22" spans="1:44" ht="14" x14ac:dyDescent="0.15">
      <c r="A22" s="133" t="str">
        <f>'TAS Oct 2022'!K8</f>
        <v>CovaU</v>
      </c>
      <c r="B22" s="142" t="str">
        <f>'TAS Oct 2022'!L8</f>
        <v>Freedom</v>
      </c>
      <c r="C22" s="107">
        <f>IF('TAS Oct 2022'!BP8=0,91*'TAS Oct 2022'!M8/100,(91*'TAS Oct 2022'!M8/100)+'TAS Oct 2022'!BP8/4)</f>
        <v>92.82</v>
      </c>
      <c r="D22" s="107">
        <f>IF('TAS Oct 2022'!O8="",$C$15*$C$16*'TAS Oct 2022'!N8/100,IF($C$15*$C$16&gt;='TAS Oct 2022'!P8,('TAS Oct 2022'!P8*'TAS Oct 2022'!N8/100),($C$15*$C$16*'TAS Oct 2022'!N8/100)))</f>
        <v>177.81818181818176</v>
      </c>
      <c r="E22" s="107">
        <f>IF(AND('TAS Oct 2022'!P8&gt;0,'TAS Oct 2022'!R8&gt;0),IF($C$15*$C$16&lt;'TAS Oct 2022'!P8,0,IF($C$15*$C$16&lt;=('TAS Oct 2022'!R8+'TAS Oct 2022'!P8),(($C$15*$C$16-'TAS Oct 2022'!P8)*'TAS Oct 2022'!Q8/100),(('TAS Oct 2022'!R8)*'TAS Oct 2022'!Q8/100))),0)</f>
        <v>0</v>
      </c>
      <c r="F22" s="107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2" s="107">
        <f>IF(AND('TAS Oct 2022'!R8&gt;0,'TAS Oct 2022'!T8&gt;0),IF(($C$15*$C$16&lt;'TAS Oct 2022'!T8),(0),($C$15*$C$16-'TAS Oct 2022'!T8)*'TAS Oct 2022'!U8/100),IF(AND('TAS Oct 2022'!R8&gt;0,'TAS Oct 2022'!T8=""),IF(($C$15*$C$16&lt;'TAS Oct 2022'!R8+'TAS Oct 2022'!P8),(0),(($C$15*$C$16-('TAS Oct 2022'!R8+'TAS Oct 2022'!P8))*'TAS Oct 2022'!S8/100)),IF(AND('TAS Oct 2022'!P8&gt;0,'TAS Oct 2022'!R8=""&gt;0),IF(($C$15*$C$16&lt;'TAS Oct 2022'!P8),(0),($C$15*$C$16-'TAS Oct 2022'!P8)*'TAS Oct 2022'!Q8/100),0)))</f>
        <v>971.72727272727263</v>
      </c>
      <c r="H22" s="110">
        <f>($C$15*$C$17)*'TAS Oct 2022'!AF8/100</f>
        <v>420.81818181818176</v>
      </c>
      <c r="I22" s="111">
        <f>SUM(C22:H22)</f>
        <v>1663.1836363636362</v>
      </c>
      <c r="J22" s="111">
        <f>(I22-C22)*4</f>
        <v>6281.454545454545</v>
      </c>
      <c r="K22" s="111">
        <f>I22*4</f>
        <v>6652.7345454545448</v>
      </c>
      <c r="L22" s="112">
        <f>K22*1.1</f>
        <v>7318.0079999999998</v>
      </c>
      <c r="M22" s="106">
        <f>'TAS Oct 2022'!BB8</f>
        <v>0</v>
      </c>
      <c r="N22" s="106">
        <f>'TAS Oct 2022'!BC8</f>
        <v>5</v>
      </c>
      <c r="O22" s="106">
        <f>'TAS Oct 2022'!BD8</f>
        <v>0</v>
      </c>
      <c r="P22" s="106">
        <f>'TAS Oct 2022'!BE8</f>
        <v>0</v>
      </c>
      <c r="Q22" s="106" t="str">
        <f>IF(SUM(M22:P22)=0,"No discount",IF(M22&gt;0,"Guaranteed off bill",IF(N22&gt;0,"Guaranteed off usage",IF(O22&gt;0,"Pay-on-time off bill","Pay-on-time off usage"))))</f>
        <v>Guaranteed off usage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12">
        <f t="shared" si="10"/>
        <v>6972.5280000000002</v>
      </c>
      <c r="V22" s="112">
        <f t="shared" si="11"/>
        <v>6972.5280000000002</v>
      </c>
      <c r="W22" s="134">
        <f>'TAS Oct 2022'!BQ8</f>
        <v>0</v>
      </c>
      <c r="X22" s="267">
        <f>'TAS Oct 2022'!BN8</f>
        <v>0</v>
      </c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</row>
    <row r="23" spans="1:44" ht="15" thickBot="1" x14ac:dyDescent="0.2">
      <c r="A23" s="136" t="str">
        <f>'TAS Oct 2022'!K9</f>
        <v>Energy Locals</v>
      </c>
      <c r="B23" s="143" t="str">
        <f>'TAS Oct 2022'!L9</f>
        <v>Business Member</v>
      </c>
      <c r="C23" s="116">
        <f>IF('TAS Oct 2022'!BP9=0,91*'TAS Oct 2022'!M9/100,(91*'TAS Oct 2022'!M9/100)+'TAS Oct 2022'!BP9/4)</f>
        <v>150.09545454545452</v>
      </c>
      <c r="D23" s="116">
        <f>IF('TAS Oct 2022'!O9="",$C$15*$C$16*'TAS Oct 2022'!N9/100,IF($C$15*$C$16&gt;='TAS Oct 2022'!P9,('TAS Oct 2022'!P9*'TAS Oct 2022'!N9/100),($C$15*$C$16*'TAS Oct 2022'!N9/100)))</f>
        <v>120.45454545454544</v>
      </c>
      <c r="E23" s="116">
        <f>IF(AND('TAS Oct 2022'!P9&gt;0,'TAS Oct 2022'!R9&gt;0),IF($C$15*$C$16&lt;'TAS Oct 2022'!P9,0,IF($C$15*$C$16&lt;=('TAS Oct 2022'!R9+'TAS Oct 2022'!P9),(($C$15*$C$16-'TAS Oct 2022'!P9)*'TAS Oct 2022'!Q9/100),(('TAS Oct 2022'!R9)*'TAS Oct 2022'!Q9/100))),0)</f>
        <v>0</v>
      </c>
      <c r="F23" s="116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3" s="116">
        <f>IF(AND('TAS Oct 2022'!R9&gt;0,'TAS Oct 2022'!T9&gt;0),IF(($C$15*$C$16&lt;'TAS Oct 2022'!T9),(0),($C$15*$C$16-'TAS Oct 2022'!T9)*'TAS Oct 2022'!U9/100),IF(AND('TAS Oct 2022'!R9&gt;0,'TAS Oct 2022'!T9=""),IF(($C$15*$C$16&lt;'TAS Oct 2022'!R9+'TAS Oct 2022'!P9),(0),(($C$15*$C$16-('TAS Oct 2022'!R9+'TAS Oct 2022'!P9))*'TAS Oct 2022'!S9/100)),IF(AND('TAS Oct 2022'!P9&gt;0,'TAS Oct 2022'!R9=""&gt;0),IF(($C$15*$C$16&lt;'TAS Oct 2022'!P9),(0),($C$15*$C$16-'TAS Oct 2022'!P9)*'TAS Oct 2022'!Q9/100),0)))</f>
        <v>722.72727272727263</v>
      </c>
      <c r="H23" s="119">
        <f>($C$15*$C$17)*'TAS Oct 2022'!AF9/100</f>
        <v>252.27272727272725</v>
      </c>
      <c r="I23" s="120">
        <f>SUM(C23:H23)</f>
        <v>1245.5499999999997</v>
      </c>
      <c r="J23" s="120">
        <f>(I23-C23)*4</f>
        <v>4381.8181818181811</v>
      </c>
      <c r="K23" s="120">
        <f>I23*4</f>
        <v>4982.1999999999989</v>
      </c>
      <c r="L23" s="121">
        <f>K23*1.1</f>
        <v>5480.4199999999992</v>
      </c>
      <c r="M23" s="115">
        <f>'TAS Oct 2022'!BB9</f>
        <v>0</v>
      </c>
      <c r="N23" s="115">
        <f>'TAS Oct 2022'!BC9</f>
        <v>0</v>
      </c>
      <c r="O23" s="115">
        <f>'TAS Oct 2022'!BD9</f>
        <v>0</v>
      </c>
      <c r="P23" s="115">
        <f>'TAS Oct 2022'!BE9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21">
        <f t="shared" si="10"/>
        <v>5480.4199999999992</v>
      </c>
      <c r="V23" s="121">
        <f t="shared" si="11"/>
        <v>5480.4199999999992</v>
      </c>
      <c r="W23" s="137">
        <f>'TAS Oct 2022'!BQ9</f>
        <v>0</v>
      </c>
      <c r="X23" s="269">
        <f>'TAS Oct 2022'!BN9</f>
        <v>0</v>
      </c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</row>
    <row r="24" spans="1:44" ht="14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00"/>
      <c r="U24" s="100"/>
      <c r="V24" s="100"/>
      <c r="W24" s="100"/>
      <c r="X24" s="100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</row>
    <row r="25" spans="1:44" ht="15" thickBot="1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00"/>
      <c r="U25" s="100"/>
      <c r="V25" s="100"/>
      <c r="W25" s="100"/>
      <c r="X25" s="100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</row>
    <row r="26" spans="1:44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3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</row>
    <row r="27" spans="1:44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</row>
    <row r="28" spans="1:44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</row>
    <row r="29" spans="1:44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</row>
    <row r="30" spans="1:44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</row>
    <row r="31" spans="1:44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</row>
    <row r="32" spans="1:44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127" t="s">
        <v>26</v>
      </c>
      <c r="W32" s="126" t="s">
        <v>55</v>
      </c>
      <c r="X32" s="128" t="s">
        <v>160</v>
      </c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</row>
    <row r="33" spans="1:44" ht="14" x14ac:dyDescent="0.15">
      <c r="A33" s="163" t="str">
        <f>'TAS Oct 2022'!K10</f>
        <v>Aurora Energy</v>
      </c>
      <c r="B33" s="164" t="str">
        <f>'TAS Oct 2022'!L10</f>
        <v>Regulated</v>
      </c>
      <c r="C33" s="165">
        <f>IF('TAS Oct 2022'!BP10=0,91*'TAS Oct 2022'!M10/100,(91*'TAS Oct 2022'!M10/100)+'TAS Oct 2022'!BP10/4)</f>
        <v>91.482299999999995</v>
      </c>
      <c r="D33" s="165">
        <f>IF('TAS Oct 2022'!O10="",$C$27*$C$28*'TAS Oct 2022'!N10/100,IF($C$27*$C$28&gt;='TAS Oct 2022'!P10,('TAS Oct 2022'!P10*'TAS Oct 2022'!N10/100),($C$27*$C$28*'TAS Oct 2022'!N10/100)))</f>
        <v>380.60454545454542</v>
      </c>
      <c r="E33" s="165">
        <f>IF(AND('TAS Oct 2022'!P10&gt;0,'TAS Oct 2022'!R10&gt;0),IF($C$27*$C$28&lt;'TAS Oct 2022'!P10,0,IF($C$27*$C$28&lt;=('TAS Oct 2022'!R10+'TAS Oct 2022'!P10),(($C$27*$C$28-'TAS Oct 2022'!P10)*'TAS Oct 2022'!Q10/100),(('TAS Oct 2022'!R10)*'TAS Oct 2022'!Q10/100))),0)</f>
        <v>0</v>
      </c>
      <c r="F33" s="165">
        <f>IF(AND('TAS Oct 2022'!R10&gt;0,'TAS Oct 2022'!T10&gt;0),IF(($C$27*$C$28&lt;'TAS Oct 2022'!T10),(0),($C$27*$C$246-'TAS Oct 2022'!T10)*'TAS Oct 2022'!U10/100),IF(AND('TAS Oct 2022'!R10&gt;0,'TAS Oct 2022'!T10=""),IF(($C$27*$C$28&lt;'TAS Oct 2022'!R10+'TAS Oct 2022'!P10),(0),(($C$27*$C$28-('TAS Oct 2022'!R10+'TAS Oct 2022'!P10))*'TAS Oct 2022'!S10/100)),IF(AND('TAS Oct 2022'!P10&gt;0,'TAS Oct 2022'!R10=""&gt;0),IF(($C$27*$C$28&lt;'TAS Oct 2022'!P10),(0),($C$27*$C$28-'TAS Oct 2022'!P10)*'TAS Oct 2022'!Q10/100),0)))</f>
        <v>0</v>
      </c>
      <c r="G33" s="166">
        <f>($C$27*$C$29)*'TAS Oct 2022'!AI10/100</f>
        <v>366.79999999999995</v>
      </c>
      <c r="H33" s="167">
        <f>($C$27*$C$30)*'TAS Oct 2022'!W10/100</f>
        <v>160.90909090909091</v>
      </c>
      <c r="I33" s="168">
        <f>SUM(C33:H33)</f>
        <v>999.79593636363632</v>
      </c>
      <c r="J33" s="168">
        <f>(I33-C33)*4</f>
        <v>3633.2545454545452</v>
      </c>
      <c r="K33" s="168">
        <f>I33*4</f>
        <v>3999.1837454545453</v>
      </c>
      <c r="L33" s="169">
        <f>K33*1.1</f>
        <v>4399.1021200000005</v>
      </c>
      <c r="M33" s="170">
        <f>'TAS Oct 2022'!BB10</f>
        <v>0</v>
      </c>
      <c r="N33" s="170">
        <f>'TAS Oct 2022'!BC10</f>
        <v>0</v>
      </c>
      <c r="O33" s="170">
        <f>'TAS Oct 2022'!BD10</f>
        <v>0</v>
      </c>
      <c r="P33" s="170">
        <f>'TAS Oct 2022'!BE10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69">
        <f t="shared" ref="U33:U35" si="13">IF(R33="Exclusive",S33*1.1,S33)</f>
        <v>4399.1021200000005</v>
      </c>
      <c r="V33" s="169">
        <f t="shared" ref="V33:V35" si="14">IF(R33="Exclusive",T33*1.1,T33)</f>
        <v>4399.1021200000005</v>
      </c>
      <c r="W33" s="171">
        <f>'TAS Oct 2022'!BQ10</f>
        <v>0</v>
      </c>
      <c r="X33" s="267">
        <f>'TAS Oct 2022'!BN10</f>
        <v>0</v>
      </c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</row>
    <row r="34" spans="1:44" ht="14" x14ac:dyDescent="0.15">
      <c r="A34" s="133" t="str">
        <f>'TAS Oct 2022'!K11</f>
        <v>1st Energy</v>
      </c>
      <c r="B34" s="142" t="str">
        <f>'TAS Oct 2022'!L11</f>
        <v>1st Saver</v>
      </c>
      <c r="C34" s="107">
        <f>IF('TAS Oct 2022'!BP11=0,91*'TAS Oct 2022'!M11/100,(91*'TAS Oct 2022'!M11/100)+'TAS Oct 2022'!BP11/4)</f>
        <v>90.545000000000002</v>
      </c>
      <c r="D34" s="107">
        <f>IF('TAS Oct 2022'!O11="",$C$27*$C$28*'TAS Oct 2022'!N11/100,IF($C$27*$C$28&gt;='TAS Oct 2022'!P11,('TAS Oct 2022'!P11*'TAS Oct 2022'!N11/100),($C$27*$C$28*'TAS Oct 2022'!N11/100)))</f>
        <v>376.5</v>
      </c>
      <c r="E34" s="107">
        <f>IF(AND('TAS Oct 2022'!P11&gt;0,'TAS Oct 2022'!R11&gt;0),IF($C$27*$C$28&lt;'TAS Oct 2022'!P11,0,IF($C$27*$C$28&lt;=('TAS Oct 2022'!R11+'TAS Oct 2022'!P11),(($C$27*$C$28-'TAS Oct 2022'!P11)*'TAS Oct 2022'!Q11/100),(('TAS Oct 2022'!R11)*'TAS Oct 2022'!Q11/100))),0)</f>
        <v>0</v>
      </c>
      <c r="F34" s="107">
        <f>IF(AND('TAS Oct 2022'!R11&gt;0,'TAS Oct 2022'!T11&gt;0),IF(($C$27*$C$28&lt;'TAS Oct 2022'!T11),(0),($C$27*$C$246-'TAS Oct 2022'!T11)*'TAS Oct 2022'!U11/100),IF(AND('TAS Oct 2022'!R11&gt;0,'TAS Oct 2022'!T11=""),IF(($C$27*$C$28&lt;'TAS Oct 2022'!R11+'TAS Oct 2022'!P11),(0),(($C$27*$C$28-('TAS Oct 2022'!R11+'TAS Oct 2022'!P11))*'TAS Oct 2022'!S11/100)),IF(AND('TAS Oct 2022'!P11&gt;0,'TAS Oct 2022'!R11=""&gt;0),IF(($C$27*$C$28&lt;'TAS Oct 2022'!P11),(0),($C$27*$C$28-'TAS Oct 2022'!P11)*'TAS Oct 2022'!Q11/100),0)))</f>
        <v>0</v>
      </c>
      <c r="G34" s="109">
        <f>($C$27*$C$29)*'TAS Oct 2022'!AI11/100</f>
        <v>361.99999999999994</v>
      </c>
      <c r="H34" s="110">
        <f>($C$27*$C$30)*'TAS Oct 2022'!W11/100</f>
        <v>159</v>
      </c>
      <c r="I34" s="111">
        <f>SUM(C34:H34)</f>
        <v>988.04499999999996</v>
      </c>
      <c r="J34" s="111">
        <f>(I34-C34)*4</f>
        <v>3590</v>
      </c>
      <c r="K34" s="111">
        <f>I34*4</f>
        <v>3952.18</v>
      </c>
      <c r="L34" s="112">
        <f>K34*1.1</f>
        <v>4347.3980000000001</v>
      </c>
      <c r="M34" s="106">
        <f>'TAS Oct 2022'!BB11</f>
        <v>0</v>
      </c>
      <c r="N34" s="106">
        <f>'TAS Oct 2022'!BC11</f>
        <v>5</v>
      </c>
      <c r="O34" s="106">
        <f>'TAS Oct 2022'!BD11</f>
        <v>0</v>
      </c>
      <c r="P34" s="106">
        <f>'TAS Oct 2022'!BE11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12">
        <f t="shared" si="13"/>
        <v>4149.9480000000003</v>
      </c>
      <c r="V34" s="112">
        <f t="shared" si="14"/>
        <v>4149.9480000000003</v>
      </c>
      <c r="W34" s="134">
        <f>'TAS Oct 2022'!BQ11</f>
        <v>0</v>
      </c>
      <c r="X34" s="267">
        <f>'TAS Oct 2022'!BN11</f>
        <v>12</v>
      </c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</row>
    <row r="35" spans="1:44" ht="14" x14ac:dyDescent="0.15">
      <c r="A35" s="133" t="str">
        <f>'TAS Oct 2022'!K12</f>
        <v>Energy Locals</v>
      </c>
      <c r="B35" s="142" t="str">
        <f>'TAS Oct 2022'!L12</f>
        <v>Business Member</v>
      </c>
      <c r="C35" s="107">
        <f>IF('TAS Oct 2022'!BP12=0,91*'TAS Oct 2022'!M12/100,(91*'TAS Oct 2022'!M12/100)+'TAS Oct 2022'!BP12/4)</f>
        <v>134.37727272727273</v>
      </c>
      <c r="D35" s="107">
        <f>IF('TAS Oct 2022'!O12="",$C$27*$C$28*'TAS Oct 2022'!N12/100,IF($C$27*$C$28&gt;='TAS Oct 2022'!P12,('TAS Oct 2022'!P12*'TAS Oct 2022'!N12/100),($C$27*$C$28*'TAS Oct 2022'!N12/100)))</f>
        <v>381.81818181818176</v>
      </c>
      <c r="E35" s="107">
        <f>IF(AND('TAS Oct 2022'!P12&gt;0,'TAS Oct 2022'!R12&gt;0),IF($C$27*$C$28&lt;'TAS Oct 2022'!P12,0,IF($C$27*$C$28&lt;=('TAS Oct 2022'!R12+'TAS Oct 2022'!P12),(($C$27*$C$28-'TAS Oct 2022'!P12)*'TAS Oct 2022'!Q12/100),(('TAS Oct 2022'!R12)*'TAS Oct 2022'!Q12/100))),0)</f>
        <v>0</v>
      </c>
      <c r="F35" s="107">
        <f>IF(AND('TAS Oct 2022'!R12&gt;0,'TAS Oct 2022'!T12&gt;0),IF(($C$27*$C$28&lt;'TAS Oct 2022'!T12),(0),($C$27*$C$246-'TAS Oct 2022'!T12)*'TAS Oct 2022'!U12/100),IF(AND('TAS Oct 2022'!R12&gt;0,'TAS Oct 2022'!T12=""),IF(($C$27*$C$28&lt;'TAS Oct 2022'!R12+'TAS Oct 2022'!P12),(0),(($C$27*$C$28-('TAS Oct 2022'!R12+'TAS Oct 2022'!P12))*'TAS Oct 2022'!S12/100)),IF(AND('TAS Oct 2022'!P12&gt;0,'TAS Oct 2022'!R12=""&gt;0),IF(($C$27*$C$28&lt;'TAS Oct 2022'!P12),(0),($C$27*$C$28-'TAS Oct 2022'!P12)*'TAS Oct 2022'!Q12/100),0)))</f>
        <v>0</v>
      </c>
      <c r="G35" s="109">
        <f>($C$27*$C$29)*'TAS Oct 2022'!AI12/100</f>
        <v>427.27272727272725</v>
      </c>
      <c r="H35" s="110">
        <f>($C$27*$C$30)*'TAS Oct 2022'!W12/100</f>
        <v>252.27272727272725</v>
      </c>
      <c r="I35" s="111">
        <f t="shared" ref="I35" si="15">SUM(C35:H35)</f>
        <v>1195.7409090909091</v>
      </c>
      <c r="J35" s="111">
        <f t="shared" ref="J35" si="16">(I35-C35)*4</f>
        <v>4245.454545454546</v>
      </c>
      <c r="K35" s="111">
        <f t="shared" ref="K35" si="17">I35*4</f>
        <v>4782.9636363636364</v>
      </c>
      <c r="L35" s="112">
        <f t="shared" ref="L35" si="18">K35*1.1</f>
        <v>5261.26</v>
      </c>
      <c r="M35" s="106">
        <f>'TAS Oct 2022'!BB12</f>
        <v>0</v>
      </c>
      <c r="N35" s="106">
        <f>'TAS Oct 2022'!BC12</f>
        <v>0</v>
      </c>
      <c r="O35" s="106">
        <f>'TAS Oct 2022'!BD12</f>
        <v>0</v>
      </c>
      <c r="P35" s="106">
        <f>'TAS Oct 2022'!BE12</f>
        <v>0</v>
      </c>
      <c r="Q35" s="106" t="str">
        <f t="shared" ref="Q35" si="19">IF(SUM(M35:P35)=0,"No discount",IF(M35&gt;0,"Guaranteed off bill",IF(N35&gt;0,"Guaranteed off usage",IF(O35&gt;0,"Pay-on-time off bill","Pay-on-time off usage"))))</f>
        <v>No discount</v>
      </c>
      <c r="R35" s="106" t="str">
        <f t="shared" si="12"/>
        <v>Exclusive</v>
      </c>
      <c r="S35" s="248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49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12">
        <f t="shared" si="13"/>
        <v>5261.26</v>
      </c>
      <c r="V35" s="112">
        <f t="shared" si="14"/>
        <v>5261.26</v>
      </c>
      <c r="W35" s="134">
        <f>'TAS Oct 2022'!BQ12</f>
        <v>0</v>
      </c>
      <c r="X35" s="267">
        <f>'TAS Oct 2022'!BN12</f>
        <v>0</v>
      </c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</row>
    <row r="36" spans="1:44" ht="14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100"/>
      <c r="U36" s="100"/>
      <c r="V36" s="100"/>
      <c r="W36" s="100"/>
      <c r="X36" s="100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</row>
    <row r="37" spans="1:44" ht="14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00"/>
      <c r="U37" s="100"/>
      <c r="V37" s="100"/>
      <c r="W37" s="100"/>
      <c r="X37" s="100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</row>
    <row r="38" spans="1:44" ht="14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100"/>
      <c r="U38" s="100"/>
      <c r="V38" s="100"/>
      <c r="W38" s="100"/>
      <c r="X38" s="100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</row>
    <row r="39" spans="1:44" ht="14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00"/>
      <c r="U39" s="100"/>
      <c r="V39" s="100"/>
      <c r="W39" s="100"/>
      <c r="X39" s="100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</row>
    <row r="40" spans="1:44" ht="14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100"/>
      <c r="U40" s="100"/>
      <c r="V40" s="100"/>
      <c r="W40" s="100"/>
      <c r="X40" s="100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</row>
    <row r="41" spans="1:44" ht="14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00"/>
      <c r="U41" s="100"/>
      <c r="V41" s="100"/>
      <c r="W41" s="100"/>
      <c r="X41" s="100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</row>
    <row r="42" spans="1:44" ht="14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100"/>
      <c r="U42" s="100"/>
      <c r="V42" s="100"/>
      <c r="W42" s="100"/>
      <c r="X42" s="100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</row>
    <row r="43" spans="1:44" ht="14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00"/>
      <c r="U43" s="100"/>
      <c r="V43" s="100"/>
      <c r="W43" s="100"/>
      <c r="X43" s="100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</row>
    <row r="44" spans="1:44" ht="14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100"/>
      <c r="U44" s="100"/>
      <c r="V44" s="100"/>
      <c r="W44" s="100"/>
      <c r="X44" s="100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44" ht="1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100"/>
      <c r="U45" s="100"/>
      <c r="V45" s="100"/>
      <c r="W45" s="100"/>
      <c r="X45" s="100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</row>
    <row r="46" spans="1:44" ht="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100"/>
      <c r="U46" s="100"/>
      <c r="V46" s="100"/>
      <c r="W46" s="100"/>
      <c r="X46" s="100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</row>
    <row r="47" spans="1:44" ht="1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100"/>
      <c r="U47" s="100"/>
      <c r="V47" s="100"/>
      <c r="W47" s="100"/>
      <c r="X47" s="100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</row>
    <row r="48" spans="1:44" ht="1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100"/>
      <c r="U48" s="100"/>
      <c r="V48" s="100"/>
      <c r="W48" s="100"/>
      <c r="X48" s="100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</row>
    <row r="49" spans="1:44" ht="1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100"/>
      <c r="U49" s="100"/>
      <c r="V49" s="100"/>
      <c r="W49" s="100"/>
      <c r="X49" s="100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ht="1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00"/>
      <c r="U50" s="100"/>
      <c r="V50" s="100"/>
      <c r="W50" s="100"/>
      <c r="X50" s="100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</row>
    <row r="51" spans="1:44" ht="1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00"/>
      <c r="U51" s="100"/>
      <c r="V51" s="100"/>
      <c r="W51" s="100"/>
      <c r="X51" s="100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</row>
    <row r="52" spans="1:44" ht="1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0"/>
      <c r="U52" s="100"/>
      <c r="V52" s="100"/>
      <c r="W52" s="100"/>
      <c r="X52" s="100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</row>
    <row r="53" spans="1:44" ht="1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100"/>
      <c r="U53" s="100"/>
      <c r="V53" s="100"/>
      <c r="W53" s="100"/>
      <c r="X53" s="100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</row>
    <row r="54" spans="1:44" ht="14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100"/>
      <c r="U54" s="100"/>
      <c r="V54" s="100"/>
      <c r="W54" s="100"/>
      <c r="X54" s="100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4" ht="14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100"/>
      <c r="U55" s="100"/>
      <c r="V55" s="100"/>
      <c r="W55" s="100"/>
      <c r="X55" s="100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4" ht="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100"/>
      <c r="U56" s="100"/>
      <c r="V56" s="100"/>
      <c r="W56" s="100"/>
      <c r="X56" s="100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4" ht="14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100"/>
      <c r="U57" s="100"/>
      <c r="V57" s="100"/>
      <c r="W57" s="100"/>
      <c r="X57" s="100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</row>
    <row r="58" spans="1:44" ht="1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100"/>
      <c r="U58" s="100"/>
      <c r="V58" s="100"/>
      <c r="W58" s="100"/>
      <c r="X58" s="100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</row>
    <row r="59" spans="1:44" ht="14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100"/>
      <c r="U59" s="100"/>
      <c r="V59" s="100"/>
      <c r="W59" s="100"/>
      <c r="X59" s="100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  <row r="60" spans="1:44" ht="14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00"/>
      <c r="U60" s="100"/>
      <c r="V60" s="100"/>
      <c r="W60" s="100"/>
      <c r="X60" s="100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</row>
  </sheetData>
  <sheetProtection algorithmName="SHA-512" hashValue="ammAOhtoejTA/msQcMrebU4avsnZN9TPHjY7v5834l7HUZ0MWJtJ3YTb8FBN1qj7+SLOso+JQc9EHSS4Z5qBtg==" saltValue="4akerEPWfLBkNe04QQsNGg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3FC-21E2-794F-80FC-ACD25AF77C2A}">
  <sheetPr codeName="Sheet27">
    <tabColor theme="4" tint="0.79998168889431442"/>
  </sheetPr>
  <dimension ref="A1:AR64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74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4" ht="14" x14ac:dyDescent="0.15">
      <c r="A2" s="76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1:44" ht="15" thickBot="1" x14ac:dyDescent="0.2">
      <c r="A3" s="74"/>
      <c r="B3" s="74"/>
      <c r="C3" s="74"/>
      <c r="D3" s="74"/>
      <c r="E3" s="74"/>
      <c r="F3" s="74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ht="14" x14ac:dyDescent="0.15">
      <c r="A8" s="163" t="str">
        <f>'TAS Apr 2022'!K2</f>
        <v>Aurora Energy</v>
      </c>
      <c r="B8" s="164" t="str">
        <f>'TAS Apr 2022'!L2</f>
        <v>Regulated</v>
      </c>
      <c r="C8" s="165">
        <f>IF('TAS Apr 2022'!BQ2=0,91*'TAS Apr 2022'!M2/100,(91*'TAS Apr 2022'!M2/100)+'TAS Apr 2022'!BQ2/4)</f>
        <v>75.48863636363636</v>
      </c>
      <c r="D8" s="165">
        <f>IF('TAS Apr 2022'!O2="",$C$5*'TAS Apr 2022'!N2/100,IF($C$5&gt;='TAS Apr 2022'!P2,('TAS Apr 2022'!P2*'TAS Apr 2022'!N2/100),($C$5*'TAS Apr 2022'!N2/100)))</f>
        <v>137.81818181818181</v>
      </c>
      <c r="E8" s="165">
        <f>IF(AND('TAS Apr 2022'!P2&gt;0,'TAS Apr 2022'!R2&gt;0),IF($C$5&lt;'TAS Apr 2022'!P2,0,IF($C$5&lt;=('TAS Apr 2022'!R2+'TAS Apr 2022'!P2),(($C$5-'TAS Apr 2022'!P2)*'TAS Apr 2022'!Q2/100),(('TAS Apr 2022'!R2)*'TAS Apr 2022'!Q2/100))),0)</f>
        <v>0</v>
      </c>
      <c r="F8" s="165">
        <f>IF(AND('TAS Apr 2022'!Q2&gt;0,'TAS Apr 2022'!S2&gt;0),IF($C$5&lt;('TAS Apr 2022'!R2+'TAS Apr 2022'!P2),0,IF($C$5&lt;=('TAS Apr 2022'!T2+'TAS Apr 2022'!R2+'TAS Apr 2022'!P2),(($C$5-('TAS Apr 2022'!R2+'TAS Apr 2022'!P2))*'TAS Apr 2022'!S2/100),('TAS Apr 2022'!T2*'TAS Apr 2022'!S2/100))),0)</f>
        <v>0</v>
      </c>
      <c r="G8" s="166">
        <v>0</v>
      </c>
      <c r="H8" s="165">
        <f>IF(AND('TAS Apr 2022'!R2&gt;0,'TAS Apr 2022'!T2&gt;0),IF(($C$5&lt;'TAS Apr 2022'!T2),(0),($C$5-'TAS Apr 2022'!T2)*'TAS Apr 2022'!U2/100),IF(AND('TAS Apr 2022'!R2&gt;0,'TAS Apr 2022'!T2=""),IF(($C$5&lt;'TAS Apr 2022'!R2+'TAS Apr 2022'!P2),(0),(($C$5-('TAS Apr 2022'!R2+'TAS Apr 2022'!P2))*'TAS Apr 2022'!S2/100)),IF(AND('TAS Apr 2022'!P2&gt;0,'TAS Apr 2022'!R2=""&gt;0),IF(($C$5&lt;'TAS Apr 2022'!P2),(0),($C$5-'TAS Apr 2022'!P2)*'TAS Apr 2022'!Q2/100),0)))</f>
        <v>917.59090909090912</v>
      </c>
      <c r="I8" s="168">
        <f>SUM(C8:H8)</f>
        <v>1130.8977272727273</v>
      </c>
      <c r="J8" s="168">
        <f>(I8-C8)*4</f>
        <v>4221.636363636364</v>
      </c>
      <c r="K8" s="168">
        <f>I8*4</f>
        <v>4523.590909090909</v>
      </c>
      <c r="L8" s="169">
        <f>K8*1.1</f>
        <v>4975.9500000000007</v>
      </c>
      <c r="M8" s="170">
        <f>'TAS Apr 2022'!BC2</f>
        <v>0</v>
      </c>
      <c r="N8" s="170">
        <f>'TAS Apr 2022'!BD2</f>
        <v>0</v>
      </c>
      <c r="O8" s="170">
        <f>'TAS Apr 2022'!BE2</f>
        <v>0</v>
      </c>
      <c r="P8" s="170">
        <f>'TAS Apr 2022'!BF2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3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69">
        <f t="shared" ref="U8:V13" si="1">S8*1.1</f>
        <v>4975.9500000000007</v>
      </c>
      <c r="V8" s="169">
        <f t="shared" si="1"/>
        <v>4975.9500000000007</v>
      </c>
      <c r="W8" s="171">
        <f>'TAS Apr 2022'!BR2</f>
        <v>0</v>
      </c>
      <c r="X8" s="172">
        <f>'TAS Apr 2022'!BO2</f>
        <v>0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9" spans="1:44" ht="14" x14ac:dyDescent="0.15">
      <c r="A9" s="133" t="str">
        <f>'TAS Apr 2022'!K3</f>
        <v>1st Energy</v>
      </c>
      <c r="B9" s="142" t="str">
        <f>'TAS Apr 2022'!L3</f>
        <v>1st Saver</v>
      </c>
      <c r="C9" s="107">
        <f>IF('TAS Apr 2022'!BQ3=0,91*'TAS Apr 2022'!M3/100,(91*'TAS Apr 2022'!M3/100)+'TAS Apr 2022'!BQ3/4)</f>
        <v>74.727545454545449</v>
      </c>
      <c r="D9" s="107">
        <f>IF('TAS Apr 2022'!O3="",$C$5*'TAS Apr 2022'!N3/100,IF($C$5&gt;='TAS Apr 2022'!P3,('TAS Apr 2022'!P3*'TAS Apr 2022'!N3/100),($C$5*'TAS Apr 2022'!N3/100)))</f>
        <v>130.90909090909091</v>
      </c>
      <c r="E9" s="107">
        <f>IF(AND('TAS Apr 2022'!P3&gt;0,'TAS Apr 2022'!R3&gt;0),IF($C$5&lt;'TAS Apr 2022'!P3,0,IF($C$5&lt;=('TAS Apr 2022'!R3+'TAS Apr 2022'!P3),(($C$5-'TAS Apr 2022'!P3)*'TAS Apr 2022'!Q3/100),(('TAS Apr 2022'!R3)*'TAS Apr 2022'!Q3/100))),0)</f>
        <v>0</v>
      </c>
      <c r="F9" s="107">
        <f>IF(AND('TAS Apr 2022'!Q3&gt;0,'TAS Apr 2022'!S3&gt;0),IF($C$5&lt;('TAS Apr 2022'!R3+'TAS Apr 2022'!P3),0,IF($C$5&lt;=('TAS Apr 2022'!T3+'TAS Apr 2022'!R3+'TAS Apr 2022'!P3),(($C$5-('TAS Apr 2022'!R3+'TAS Apr 2022'!P3))*'TAS Apr 2022'!S3/100),('TAS Apr 2022'!T3*'TAS Apr 2022'!S3/100))),0)</f>
        <v>0</v>
      </c>
      <c r="G9" s="109">
        <v>0</v>
      </c>
      <c r="H9" s="107">
        <f>IF(AND('TAS Apr 2022'!R3&gt;0,'TAS Apr 2022'!T3&gt;0),IF(($C$5&lt;'TAS Apr 2022'!T3),(0),($C$5-'TAS Apr 2022'!T3)*'TAS Apr 2022'!U3/100),IF(AND('TAS Apr 2022'!R3&gt;0,'TAS Apr 2022'!T3=""),IF(($C$5&lt;'TAS Apr 2022'!R3+'TAS Apr 2022'!P3),(0),(($C$5-('TAS Apr 2022'!R3+'TAS Apr 2022'!P3))*'TAS Apr 2022'!S3/100)),IF(AND('TAS Apr 2022'!P3&gt;0,'TAS Apr 2022'!R3=""&gt;0),IF(($C$5&lt;'TAS Apr 2022'!P3),(0),($C$5-'TAS Apr 2022'!P3)*'TAS Apr 2022'!Q3/100),0)))</f>
        <v>871.36363636363637</v>
      </c>
      <c r="I9" s="111">
        <f>SUM(C9:H9)</f>
        <v>1077.0002727272727</v>
      </c>
      <c r="J9" s="111">
        <f>(I9-C9)*4</f>
        <v>4009.090909090909</v>
      </c>
      <c r="K9" s="111">
        <f>I9*4</f>
        <v>4308.0010909090906</v>
      </c>
      <c r="L9" s="112">
        <f>K9*1.1</f>
        <v>4738.8011999999999</v>
      </c>
      <c r="M9" s="106">
        <f>'TAS Apr 2022'!BC3</f>
        <v>0</v>
      </c>
      <c r="N9" s="106">
        <f>'TAS Apr 2022'!BD3</f>
        <v>0</v>
      </c>
      <c r="O9" s="106">
        <f>'TAS Apr 2022'!BE3</f>
        <v>0</v>
      </c>
      <c r="P9" s="106">
        <f>'TAS Apr 2022'!BF3</f>
        <v>5</v>
      </c>
      <c r="Q9" s="106" t="str">
        <f>IF(SUM(M9:P9)=0,"No discount",IF(M9&gt;0,"Guaranteed off bill",IF(N9&gt;0,"Guaranteed off usage",IF(O9&gt;0,"Pay-on-time off bill","Pay-on-time off usage"))))</f>
        <v>Pay-on-time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4308.0010909090906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4107.5465454545456</v>
      </c>
      <c r="U9" s="112">
        <f t="shared" si="1"/>
        <v>4738.8011999999999</v>
      </c>
      <c r="V9" s="112">
        <f t="shared" si="1"/>
        <v>4518.3012000000008</v>
      </c>
      <c r="W9" s="266">
        <f>'TAS Apr 2022'!BR3</f>
        <v>0</v>
      </c>
      <c r="X9" s="267">
        <f>'TAS Apr 2022'!BO3</f>
        <v>12</v>
      </c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</row>
    <row r="10" spans="1:44" ht="14" x14ac:dyDescent="0.15">
      <c r="A10" s="133" t="str">
        <f>'TAS Apr 2022'!K4</f>
        <v>Future X Power</v>
      </c>
      <c r="B10" s="142" t="str">
        <f>'TAS Apr 2022'!L4</f>
        <v>Flexi Saver</v>
      </c>
      <c r="C10" s="107">
        <f>IF('TAS Apr 2022'!BQ4=0,91*'TAS Apr 2022'!M4/100,(91*'TAS Apr 2022'!M4/100)+'TAS Apr 2022'!BQ4/4)</f>
        <v>85.995000000000005</v>
      </c>
      <c r="D10" s="107">
        <f>IF('TAS Apr 2022'!O4="",$C$5*'TAS Apr 2022'!N4/100,IF($C$5&gt;='TAS Apr 2022'!P4,('TAS Apr 2022'!P4*'TAS Apr 2022'!N4/100),($C$5*'TAS Apr 2022'!N4/100)))</f>
        <v>156.99999999999997</v>
      </c>
      <c r="E10" s="107">
        <f>IF(AND('TAS Apr 2022'!P4&gt;0,'TAS Apr 2022'!R4&gt;0),IF($C$5&lt;'TAS Apr 2022'!P4,0,IF($C$5&lt;=('TAS Apr 2022'!R4+'TAS Apr 2022'!P4),(($C$5-'TAS Apr 2022'!P4)*'TAS Apr 2022'!Q4/100),(('TAS Apr 2022'!R4)*'TAS Apr 2022'!Q4/100))),0)</f>
        <v>0</v>
      </c>
      <c r="F10" s="107">
        <f>IF(AND('TAS Apr 2022'!Q4&gt;0,'TAS Apr 2022'!S4&gt;0),IF($C$5&lt;('TAS Apr 2022'!R4+'TAS Apr 2022'!P4),0,IF($C$5&lt;=('TAS Apr 2022'!T4+'TAS Apr 2022'!R4+'TAS Apr 2022'!P4),(($C$5-('TAS Apr 2022'!R4+'TAS Apr 2022'!P4))*'TAS Apr 2022'!S4/100),('TAS Apr 2022'!T4*'TAS Apr 2022'!S4/100))),0)</f>
        <v>0</v>
      </c>
      <c r="G10" s="109">
        <v>0</v>
      </c>
      <c r="H10" s="107">
        <f>IF(AND('TAS Apr 2022'!R4&gt;0,'TAS Apr 2022'!T4&gt;0),IF(($C$5&lt;'TAS Apr 2022'!T4),(0),($C$5-'TAS Apr 2022'!T4)*'TAS Apr 2022'!U4/100),IF(AND('TAS Apr 2022'!R4&gt;0,'TAS Apr 2022'!T4=""),IF(($C$5&lt;'TAS Apr 2022'!R4+'TAS Apr 2022'!P4),(0),(($C$5-('TAS Apr 2022'!R4+'TAS Apr 2022'!P4))*'TAS Apr 2022'!S4/100)),IF(AND('TAS Apr 2022'!P4&gt;0,'TAS Apr 2022'!R4=""&gt;0),IF(($C$5&lt;'TAS Apr 2022'!P4),(0),($C$5-'TAS Apr 2022'!P4)*'TAS Apr 2022'!Q4/100),0)))</f>
        <v>1044</v>
      </c>
      <c r="I10" s="111">
        <f>SUM(C10:H10)</f>
        <v>1286.9949999999999</v>
      </c>
      <c r="J10" s="111">
        <f>(I10-C10)*4</f>
        <v>4804</v>
      </c>
      <c r="K10" s="111">
        <f>I10*4</f>
        <v>5147.9799999999996</v>
      </c>
      <c r="L10" s="112">
        <f>K10*1.1</f>
        <v>5662.7780000000002</v>
      </c>
      <c r="M10" s="106">
        <f>'TAS Apr 2022'!BC4</f>
        <v>0</v>
      </c>
      <c r="N10" s="106">
        <f>'TAS Apr 2022'!BD4</f>
        <v>0</v>
      </c>
      <c r="O10" s="106">
        <f>'TAS Apr 2022'!BE4</f>
        <v>3</v>
      </c>
      <c r="P10" s="106">
        <f>'TAS Apr 2022'!BF4</f>
        <v>0</v>
      </c>
      <c r="Q10" s="106" t="str">
        <f>IF(SUM(M10:P10)=0,"No discount",IF(M10&gt;0,"Guaranteed off bill",IF(N10&gt;0,"Guaranteed off usage",IF(O10&gt;0,"Pay-on-time off bill","Pay-on-time off usage"))))</f>
        <v>Pay-on-time off bill</v>
      </c>
      <c r="R10" s="106" t="str">
        <f t="shared" si="0"/>
        <v>Exclusive</v>
      </c>
      <c r="S10" s="248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5147.9799999999996</v>
      </c>
      <c r="T10" s="249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4993.5405999999994</v>
      </c>
      <c r="U10" s="112">
        <f t="shared" si="1"/>
        <v>5662.7780000000002</v>
      </c>
      <c r="V10" s="112">
        <f t="shared" si="1"/>
        <v>5492.8946599999999</v>
      </c>
      <c r="W10" s="266">
        <f>'TAS Apr 2022'!BR4</f>
        <v>0</v>
      </c>
      <c r="X10" s="267">
        <f>'TAS Apr 2022'!BO4</f>
        <v>0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</row>
    <row r="11" spans="1:44" ht="14" x14ac:dyDescent="0.15">
      <c r="A11" s="133" t="str">
        <f>'TAS Apr 2022'!K5</f>
        <v>CovaU</v>
      </c>
      <c r="B11" s="142" t="str">
        <f>'TAS Apr 2022'!L5</f>
        <v>Freedom Online</v>
      </c>
      <c r="C11" s="107">
        <f>IF('TAS Apr 2022'!BQ5=0,91*'TAS Apr 2022'!M5/100,(91*'TAS Apr 2022'!M5/100)+'TAS Apr 2022'!BQ5/4)</f>
        <v>75.48863636363636</v>
      </c>
      <c r="D11" s="107">
        <f>IF('TAS Apr 2022'!O5="",$C$5*'TAS Apr 2022'!N5/100,IF($C$5&gt;='TAS Apr 2022'!P5,('TAS Apr 2022'!P5*'TAS Apr 2022'!N5/100),($C$5*'TAS Apr 2022'!N5/100)))</f>
        <v>137.81818181818181</v>
      </c>
      <c r="E11" s="107">
        <f>IF(AND('TAS Apr 2022'!P5&gt;0,'TAS Apr 2022'!R5&gt;0),IF($C$5&lt;'TAS Apr 2022'!P5,0,IF($C$5&lt;=('TAS Apr 2022'!R5+'TAS Apr 2022'!P5),(($C$5-'TAS Apr 2022'!P5)*'TAS Apr 2022'!Q5/100),(('TAS Apr 2022'!R5)*'TAS Apr 2022'!Q5/100))),0)</f>
        <v>0</v>
      </c>
      <c r="F11" s="107">
        <f>IF(AND('TAS Apr 2022'!Q5&gt;0,'TAS Apr 2022'!S5&gt;0),IF($C$5&lt;('TAS Apr 2022'!R5+'TAS Apr 2022'!P5),0,IF($C$5&lt;=('TAS Apr 2022'!T5+'TAS Apr 2022'!R5+'TAS Apr 2022'!P5),(($C$5-('TAS Apr 2022'!R5+'TAS Apr 2022'!P5))*'TAS Apr 2022'!S5/100),('TAS Apr 2022'!T5*'TAS Apr 2022'!S5/100))),0)</f>
        <v>0</v>
      </c>
      <c r="G11" s="109">
        <v>0</v>
      </c>
      <c r="H11" s="107">
        <f>IF(AND('TAS Apr 2022'!R5&gt;0,'TAS Apr 2022'!T5&gt;0),IF(($C$5&lt;'TAS Apr 2022'!T5),(0),($C$5-'TAS Apr 2022'!T5)*'TAS Apr 2022'!U5/100),IF(AND('TAS Apr 2022'!R5&gt;0,'TAS Apr 2022'!T5=""),IF(($C$5&lt;'TAS Apr 2022'!R5+'TAS Apr 2022'!P5),(0),(($C$5-('TAS Apr 2022'!R5+'TAS Apr 2022'!P5))*'TAS Apr 2022'!S5/100)),IF(AND('TAS Apr 2022'!P5&gt;0,'TAS Apr 2022'!R5=""&gt;0),IF(($C$5&lt;'TAS Apr 2022'!P5),(0),($C$5-'TAS Apr 2022'!P5)*'TAS Apr 2022'!Q5/100),0)))</f>
        <v>917.59090909090912</v>
      </c>
      <c r="I11" s="111">
        <f t="shared" ref="I11:I13" si="2">SUM(C11:H11)</f>
        <v>1130.8977272727273</v>
      </c>
      <c r="J11" s="111">
        <f t="shared" ref="J11:J13" si="3">(I11-C11)*4</f>
        <v>4221.636363636364</v>
      </c>
      <c r="K11" s="111">
        <f t="shared" ref="K11:K13" si="4">I11*4</f>
        <v>4523.590909090909</v>
      </c>
      <c r="L11" s="112">
        <f t="shared" ref="L11:L13" si="5">K11*1.1</f>
        <v>4975.9500000000007</v>
      </c>
      <c r="M11" s="106">
        <f>'TAS Apr 2022'!BC5</f>
        <v>0</v>
      </c>
      <c r="N11" s="106">
        <f>'TAS Apr 2022'!BD5</f>
        <v>5</v>
      </c>
      <c r="O11" s="106">
        <f>'TAS Apr 2022'!BE5</f>
        <v>0</v>
      </c>
      <c r="P11" s="106">
        <f>'TAS Apr 2022'!BF5</f>
        <v>0</v>
      </c>
      <c r="Q11" s="106" t="str">
        <f t="shared" ref="Q11:Q13" si="6">IF(SUM(M11:P11)=0,"No discount",IF(M11&gt;0,"Guaranteed off bill",IF(N11&gt;0,"Guaranteed off usage",IF(O11&gt;0,"Pay-on-time off bill","Pay-on-time off usage"))))</f>
        <v>Guaranteed off usage</v>
      </c>
      <c r="R11" s="106" t="str">
        <f t="shared" si="0"/>
        <v>Exclusive</v>
      </c>
      <c r="S11" s="248">
        <f t="shared" ref="S11:S13" si="7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4312.5090909090904</v>
      </c>
      <c r="T11" s="249">
        <f t="shared" ref="T11:T13" si="8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4312.5090909090904</v>
      </c>
      <c r="U11" s="112">
        <f t="shared" si="1"/>
        <v>4743.76</v>
      </c>
      <c r="V11" s="112">
        <f t="shared" si="1"/>
        <v>4743.76</v>
      </c>
      <c r="W11" s="266">
        <f>'TAS Apr 2022'!BR5</f>
        <v>0</v>
      </c>
      <c r="X11" s="267">
        <f>'TAS Apr 2022'!BO5</f>
        <v>0</v>
      </c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</row>
    <row r="12" spans="1:44" ht="14" x14ac:dyDescent="0.15">
      <c r="A12" s="133" t="str">
        <f>'TAS Apr 2022'!K6</f>
        <v>Energy Locals</v>
      </c>
      <c r="B12" s="142" t="str">
        <f>'TAS Apr 2022'!L6</f>
        <v>Business Member</v>
      </c>
      <c r="C12" s="107">
        <f>IF('TAS Apr 2022'!BQ6=0,91*'TAS Apr 2022'!M6/100,(91*'TAS Apr 2022'!M6/100)+'TAS Apr 2022'!BQ6/4)</f>
        <v>111.21363636363635</v>
      </c>
      <c r="D12" s="107">
        <f>IF('TAS Apr 2022'!O6="",$C$5*'TAS Apr 2022'!N6/100,IF($C$5&gt;='TAS Apr 2022'!P6,('TAS Apr 2022'!P6*'TAS Apr 2022'!N6/100),($C$5*'TAS Apr 2022'!N6/100)))</f>
        <v>127.72727272727272</v>
      </c>
      <c r="E12" s="107">
        <f>IF(AND('TAS Apr 2022'!P6&gt;0,'TAS Apr 2022'!R6&gt;0),IF($C$5&lt;'TAS Apr 2022'!P6,0,IF($C$5&lt;=('TAS Apr 2022'!R6+'TAS Apr 2022'!P6),(($C$5-'TAS Apr 2022'!P6)*'TAS Apr 2022'!Q6/100),(('TAS Apr 2022'!R6)*'TAS Apr 2022'!Q6/100))),0)</f>
        <v>0</v>
      </c>
      <c r="F12" s="107">
        <f>IF(AND('TAS Apr 2022'!Q6&gt;0,'TAS Apr 2022'!S6&gt;0),IF($C$5&lt;('TAS Apr 2022'!R6+'TAS Apr 2022'!P6),0,IF($C$5&lt;=('TAS Apr 2022'!T6+'TAS Apr 2022'!R6+'TAS Apr 2022'!P6),(($C$5-('TAS Apr 2022'!R6+'TAS Apr 2022'!P6))*'TAS Apr 2022'!S6/100),('TAS Apr 2022'!T6*'TAS Apr 2022'!S6/100))),0)</f>
        <v>0</v>
      </c>
      <c r="G12" s="109">
        <v>0</v>
      </c>
      <c r="H12" s="107">
        <f>IF(AND('TAS Apr 2022'!R6&gt;0,'TAS Apr 2022'!T6&gt;0),IF(($C$5&lt;'TAS Apr 2022'!T6),(0),($C$5-'TAS Apr 2022'!T6)*'TAS Apr 2022'!U6/100),IF(AND('TAS Apr 2022'!R6&gt;0,'TAS Apr 2022'!T6=""),IF(($C$5&lt;'TAS Apr 2022'!R6+'TAS Apr 2022'!P6),(0),(($C$5-('TAS Apr 2022'!R6+'TAS Apr 2022'!P6))*'TAS Apr 2022'!S6/100)),IF(AND('TAS Apr 2022'!P6&gt;0,'TAS Apr 2022'!R6=""&gt;0),IF(($C$5&lt;'TAS Apr 2022'!P6),(0),($C$5-'TAS Apr 2022'!P6)*'TAS Apr 2022'!Q6/100),0)))</f>
        <v>850.90909090909076</v>
      </c>
      <c r="I12" s="111">
        <f t="shared" si="2"/>
        <v>1089.8499999999999</v>
      </c>
      <c r="J12" s="111">
        <f t="shared" si="3"/>
        <v>3914.545454545454</v>
      </c>
      <c r="K12" s="111">
        <f t="shared" si="4"/>
        <v>4359.3999999999996</v>
      </c>
      <c r="L12" s="112">
        <f t="shared" si="5"/>
        <v>4795.34</v>
      </c>
      <c r="M12" s="106">
        <f>'TAS Apr 2022'!BC6</f>
        <v>0</v>
      </c>
      <c r="N12" s="106">
        <f>'TAS Apr 2022'!BD6</f>
        <v>0</v>
      </c>
      <c r="O12" s="106">
        <f>'TAS Apr 2022'!BE6</f>
        <v>0</v>
      </c>
      <c r="P12" s="106">
        <f>'TAS Apr 2022'!BF6</f>
        <v>0</v>
      </c>
      <c r="Q12" s="106" t="str">
        <f t="shared" si="6"/>
        <v>No discount</v>
      </c>
      <c r="R12" s="106" t="str">
        <f t="shared" si="0"/>
        <v>Exclusive</v>
      </c>
      <c r="S12" s="248">
        <f t="shared" si="7"/>
        <v>4359.3999999999996</v>
      </c>
      <c r="T12" s="249">
        <f t="shared" si="8"/>
        <v>4359.3999999999996</v>
      </c>
      <c r="U12" s="112">
        <f t="shared" si="1"/>
        <v>4795.34</v>
      </c>
      <c r="V12" s="112">
        <f t="shared" si="1"/>
        <v>4795.34</v>
      </c>
      <c r="W12" s="266">
        <f>'TAS Apr 2022'!BR6</f>
        <v>0</v>
      </c>
      <c r="X12" s="267">
        <f>'TAS Apr 2022'!BO6</f>
        <v>0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</row>
    <row r="13" spans="1:44" ht="15" thickBot="1" x14ac:dyDescent="0.2">
      <c r="A13" s="136" t="str">
        <f>'TAS Apr 2022'!K7</f>
        <v>GlowPower</v>
      </c>
      <c r="B13" s="143" t="str">
        <f>'TAS Apr 2022'!L7</f>
        <v xml:space="preserve">Business </v>
      </c>
      <c r="C13" s="116">
        <f>IF('TAS Apr 2022'!BQ7=0,91*'TAS Apr 2022'!M7/100,(91*'TAS Apr 2022'!M7/100)+'TAS Apr 2022'!BQ7/4)</f>
        <v>75.36454545454545</v>
      </c>
      <c r="D13" s="116">
        <f>IF('TAS Apr 2022'!O7="",$C$5*'TAS Apr 2022'!N7/100,IF($C$5&gt;='TAS Apr 2022'!P7,('TAS Apr 2022'!P7*'TAS Apr 2022'!N7/100),($C$5*'TAS Apr 2022'!N7/100)))</f>
        <v>1045.4545454545453</v>
      </c>
      <c r="E13" s="116">
        <f>IF(AND('TAS Apr 2022'!P7&gt;0,'TAS Apr 2022'!R7&gt;0),IF($C$5&lt;'TAS Apr 2022'!P7,0,IF($C$5&lt;=('TAS Apr 2022'!R7+'TAS Apr 2022'!P7),(($C$5-'TAS Apr 2022'!P7)*'TAS Apr 2022'!Q7/100),(('TAS Apr 2022'!R7)*'TAS Apr 2022'!Q7/100))),0)</f>
        <v>0</v>
      </c>
      <c r="F13" s="116">
        <f>IF(AND('TAS Apr 2022'!Q7&gt;0,'TAS Apr 2022'!S7&gt;0),IF($C$5&lt;('TAS Apr 2022'!R7+'TAS Apr 2022'!P7),0,IF($C$5&lt;=('TAS Apr 2022'!T7+'TAS Apr 2022'!R7+'TAS Apr 2022'!P7),(($C$5-('TAS Apr 2022'!R7+'TAS Apr 2022'!P7))*'TAS Apr 2022'!S7/100),('TAS Apr 2022'!T7*'TAS Apr 2022'!S7/100))),0)</f>
        <v>0</v>
      </c>
      <c r="G13" s="118">
        <v>0</v>
      </c>
      <c r="H13" s="116">
        <f>IF(AND('TAS Apr 2022'!R7&gt;0,'TAS Apr 2022'!T7&gt;0),IF(($C$5&lt;'TAS Apr 2022'!T7),(0),($C$5-'TAS Apr 2022'!T7)*'TAS Apr 2022'!U7/100),IF(AND('TAS Apr 2022'!R7&gt;0,'TAS Apr 2022'!T7=""),IF(($C$5&lt;'TAS Apr 2022'!R7+'TAS Apr 2022'!P7),(0),(($C$5-('TAS Apr 2022'!R7+'TAS Apr 2022'!P7))*'TAS Apr 2022'!S7/100)),IF(AND('TAS Apr 2022'!P7&gt;0,'TAS Apr 2022'!R7=""&gt;0),IF(($C$5&lt;'TAS Apr 2022'!P7),(0),($C$5-'TAS Apr 2022'!P7)*'TAS Apr 2022'!Q7/100),0)))</f>
        <v>0</v>
      </c>
      <c r="I13" s="120">
        <f t="shared" si="2"/>
        <v>1120.8190909090906</v>
      </c>
      <c r="J13" s="120">
        <f t="shared" si="3"/>
        <v>4181.8181818181811</v>
      </c>
      <c r="K13" s="120">
        <f t="shared" si="4"/>
        <v>4483.2763636363625</v>
      </c>
      <c r="L13" s="121">
        <f t="shared" si="5"/>
        <v>4931.6039999999994</v>
      </c>
      <c r="M13" s="115">
        <f>'TAS Apr 2022'!BC7</f>
        <v>0</v>
      </c>
      <c r="N13" s="115">
        <f>'TAS Apr 2022'!BD7</f>
        <v>0</v>
      </c>
      <c r="O13" s="115">
        <f>'TAS Apr 2022'!BE7</f>
        <v>0</v>
      </c>
      <c r="P13" s="115">
        <f>'TAS Apr 2022'!BF7</f>
        <v>0</v>
      </c>
      <c r="Q13" s="115" t="str">
        <f t="shared" si="6"/>
        <v>No discount</v>
      </c>
      <c r="R13" s="115" t="str">
        <f t="shared" si="0"/>
        <v>Exclusive</v>
      </c>
      <c r="S13" s="201">
        <f t="shared" si="7"/>
        <v>4483.2763636363625</v>
      </c>
      <c r="T13" s="202">
        <f t="shared" si="8"/>
        <v>4483.2763636363625</v>
      </c>
      <c r="U13" s="121">
        <f t="shared" si="1"/>
        <v>4931.6039999999994</v>
      </c>
      <c r="V13" s="121">
        <f t="shared" si="1"/>
        <v>4931.6039999999994</v>
      </c>
      <c r="W13" s="268">
        <f>'TAS Apr 2022'!BR7</f>
        <v>0</v>
      </c>
      <c r="X13" s="269">
        <f>'TAS Apr 2022'!BO7</f>
        <v>0</v>
      </c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</row>
    <row r="14" spans="1:44" ht="14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8"/>
      <c r="U14" s="78"/>
      <c r="V14" s="78"/>
      <c r="W14" s="78"/>
      <c r="X14" s="78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</row>
    <row r="15" spans="1:44" ht="15" thickBo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8"/>
      <c r="U15" s="78"/>
      <c r="V15" s="78"/>
      <c r="W15" s="78"/>
      <c r="X15" s="78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</row>
    <row r="16" spans="1:44" ht="14" x14ac:dyDescent="0.15">
      <c r="A16" s="51" t="s">
        <v>96</v>
      </c>
      <c r="B16" s="52"/>
      <c r="C16" s="52"/>
      <c r="D16" s="67"/>
      <c r="E16" s="67"/>
      <c r="F16" s="67"/>
      <c r="G16" s="67"/>
      <c r="H16" s="67"/>
      <c r="I16" s="68"/>
      <c r="J16" s="6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7" spans="1:44" ht="14" x14ac:dyDescent="0.15">
      <c r="A17" s="54" t="s">
        <v>79</v>
      </c>
      <c r="B17" s="39"/>
      <c r="C17" s="72">
        <v>5000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</row>
    <row r="18" spans="1:44" ht="14" x14ac:dyDescent="0.15">
      <c r="A18" s="54" t="s">
        <v>97</v>
      </c>
      <c r="B18" s="39"/>
      <c r="C18" s="73">
        <v>0.7</v>
      </c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</row>
    <row r="19" spans="1:44" ht="14" x14ac:dyDescent="0.15">
      <c r="A19" s="54" t="s">
        <v>148</v>
      </c>
      <c r="B19" s="39"/>
      <c r="C19" s="73">
        <v>0.3</v>
      </c>
      <c r="D19" s="69"/>
      <c r="E19" s="69"/>
      <c r="F19" s="69"/>
      <c r="G19" s="69"/>
      <c r="H19" s="69"/>
      <c r="I19" s="70"/>
      <c r="J19" s="7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55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</row>
    <row r="20" spans="1:44" ht="14" x14ac:dyDescent="0.15">
      <c r="A20" s="54"/>
      <c r="B20" s="39"/>
      <c r="C20" s="69"/>
      <c r="D20" s="69"/>
      <c r="E20" s="69"/>
      <c r="F20" s="69"/>
      <c r="G20" s="69"/>
      <c r="H20" s="69"/>
      <c r="I20" s="70"/>
      <c r="J20" s="7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</row>
    <row r="21" spans="1:44" ht="75" x14ac:dyDescent="0.15">
      <c r="A21" s="230" t="s">
        <v>73</v>
      </c>
      <c r="B21" s="130" t="s">
        <v>80</v>
      </c>
      <c r="C21" s="124" t="s">
        <v>81</v>
      </c>
      <c r="D21" s="124" t="s">
        <v>82</v>
      </c>
      <c r="E21" s="124" t="s">
        <v>83</v>
      </c>
      <c r="F21" s="124" t="s">
        <v>84</v>
      </c>
      <c r="G21" s="124" t="s">
        <v>86</v>
      </c>
      <c r="H21" s="124" t="s">
        <v>96</v>
      </c>
      <c r="I21" s="124" t="s">
        <v>87</v>
      </c>
      <c r="J21" s="231" t="s">
        <v>243</v>
      </c>
      <c r="K21" s="232" t="s">
        <v>61</v>
      </c>
      <c r="L21" s="125" t="s">
        <v>246</v>
      </c>
      <c r="M21" s="126" t="s">
        <v>62</v>
      </c>
      <c r="N21" s="126" t="s">
        <v>63</v>
      </c>
      <c r="O21" s="126" t="s">
        <v>64</v>
      </c>
      <c r="P21" s="126" t="s">
        <v>65</v>
      </c>
      <c r="Q21" s="233" t="s">
        <v>244</v>
      </c>
      <c r="R21" s="233" t="s">
        <v>245</v>
      </c>
      <c r="S21" s="234" t="s">
        <v>66</v>
      </c>
      <c r="T21" s="234" t="s">
        <v>67</v>
      </c>
      <c r="U21" s="127" t="s">
        <v>25</v>
      </c>
      <c r="V21" s="127" t="s">
        <v>26</v>
      </c>
      <c r="W21" s="126" t="s">
        <v>68</v>
      </c>
      <c r="X21" s="128" t="s">
        <v>95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</row>
    <row r="22" spans="1:44" ht="14" x14ac:dyDescent="0.15">
      <c r="A22" s="163" t="str">
        <f>'TAS Apr 2022'!K8</f>
        <v>Aurora Energy</v>
      </c>
      <c r="B22" s="164" t="str">
        <f>'TAS Apr 2022'!L8</f>
        <v>Regulated</v>
      </c>
      <c r="C22" s="165">
        <f>IF('TAS Apr 2022'!BQ8=0,91*'TAS Apr 2022'!M8/100,(91*'TAS Apr 2022'!M8/100)+'TAS Apr 2022'!BQ8/4)</f>
        <v>89.022818181818167</v>
      </c>
      <c r="D22" s="165">
        <f>IF('TAS Apr 2022'!O8="",$C$17*$C$18*'TAS Apr 2022'!N8/100,IF($C$17*$C$18&gt;='TAS Apr 2022'!P8,('TAS Apr 2022'!P8*'TAS Apr 2022'!N8/100),($C$17*$C$18*'TAS Apr 2022'!N8/100)))</f>
        <v>137.81818181818181</v>
      </c>
      <c r="E22" s="165">
        <f>IF(AND('TAS Apr 2022'!P8&gt;0,'TAS Apr 2022'!R8&gt;0),IF($C$17*$C$18&lt;'TAS Apr 2022'!P8,0,IF($C$17*$C$18&lt;=('TAS Apr 2022'!R8+'TAS Apr 2022'!P8),(($C$17*$C$18-'TAS Apr 2022'!P8)*'TAS Apr 2022'!Q8/100),(('TAS Apr 2022'!R8)*'TAS Apr 2022'!Q8/100))),0)</f>
        <v>0</v>
      </c>
      <c r="F22" s="165">
        <f>IF(AND('TAS Apr 2022'!Q2&gt;0,'TAS Apr 2022'!S2&gt;0),IF($C$17*$C$18&lt;('TAS Apr 2022'!R2+'TAS Apr 2022'!P2),0,IF($C$17*$C$18&lt;=('TAS Apr 2022'!T2+'TAS Apr 2022'!R2+'TAS Apr 2022'!P2),(($C$17*$C$18-('TAS Apr 2022'!R2+'TAS Apr 2022'!P2))*'TAS Apr 2022'!S2/100),('TAS Apr 2022'!T2*'TAS Apr 2022'!S2/100))),0)</f>
        <v>0</v>
      </c>
      <c r="G22" s="165">
        <f>IF(AND('TAS Apr 2022'!R8&gt;0,'TAS Apr 2022'!T8&gt;0),IF(($C$17*$C$18&lt;'TAS Apr 2022'!T8),(0),($C$17*$C$18-'TAS Apr 2022'!T8)*'TAS Apr 2022'!U8/100),IF(AND('TAS Apr 2022'!R8&gt;0,'TAS Apr 2022'!T8=""),IF(($C$17*$C$18&lt;'TAS Apr 2022'!R8+'TAS Apr 2022'!P8),(0),(($C$17*$C$18-('TAS Apr 2022'!R8+'TAS Apr 2022'!P8))*'TAS Apr 2022'!S8/100)),IF(AND('TAS Apr 2022'!P8&gt;0,'TAS Apr 2022'!R8=""&gt;0),IF(($C$17*$C$18&lt;'TAS Apr 2022'!P8),(0),($C$17*$C$18-'TAS Apr 2022'!P8)*'TAS Apr 2022'!Q8/100),0)))</f>
        <v>611.72727272727275</v>
      </c>
      <c r="H22" s="167">
        <f>($C$17*$C$19)*'TAS Apr 2022'!AF8/100</f>
        <v>195.81818181818181</v>
      </c>
      <c r="I22" s="168">
        <f>SUM(C22:H22)</f>
        <v>1034.3864545454546</v>
      </c>
      <c r="J22" s="168">
        <f>(I22-C22)*4</f>
        <v>3781.454545454546</v>
      </c>
      <c r="K22" s="168">
        <f>I22*4</f>
        <v>4137.5458181818185</v>
      </c>
      <c r="L22" s="169">
        <f>K22*1.1</f>
        <v>4551.300400000001</v>
      </c>
      <c r="M22" s="170">
        <f>'TAS Apr 2022'!BC8</f>
        <v>0</v>
      </c>
      <c r="N22" s="170">
        <f>'TAS Apr 2022'!BD8</f>
        <v>0</v>
      </c>
      <c r="O22" s="170">
        <f>'TAS Apr 2022'!BE8</f>
        <v>0</v>
      </c>
      <c r="P22" s="170">
        <f>'TAS Apr 2022'!BF8</f>
        <v>0</v>
      </c>
      <c r="Q22" s="170" t="str">
        <f>IF(SUM(M22:P22)=0,"No discount",IF(M22&gt;0,"Guaranteed off bill",IF(N22&gt;0,"Guaranteed off usage",IF(O22&gt;0,"Pay-on-time off bill","Pay-on-time off usage"))))</f>
        <v>No discount</v>
      </c>
      <c r="R22" s="170" t="str">
        <f t="shared" ref="R22:R24" si="9">IF(OR(A22="Origin Energy",A22="Red Energy",A22="Powershop"),"Inclusive","Exclusive")</f>
        <v>Exclusive</v>
      </c>
      <c r="S22" s="20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4137.5458181818185</v>
      </c>
      <c r="T22" s="20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4137.5458181818185</v>
      </c>
      <c r="U22" s="169">
        <f t="shared" ref="U22:U24" si="10">IF(R22="Exclusive",S22*1.1,S22)</f>
        <v>4551.300400000001</v>
      </c>
      <c r="V22" s="169">
        <f t="shared" ref="V22:V24" si="11">IF(R22="Exclusive",T22*1.1,T22)</f>
        <v>4551.300400000001</v>
      </c>
      <c r="W22" s="134">
        <f>'TAS Apr 2022'!BR8</f>
        <v>0</v>
      </c>
      <c r="X22" s="267">
        <f>'TAS Apr 2022'!BO8</f>
        <v>0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</row>
    <row r="23" spans="1:44" ht="14" x14ac:dyDescent="0.15">
      <c r="A23" s="133" t="str">
        <f>'TAS Apr 2022'!K9</f>
        <v>1st Energy</v>
      </c>
      <c r="B23" s="142" t="str">
        <f>'TAS Apr 2022'!L9</f>
        <v>1st Saver</v>
      </c>
      <c r="C23" s="107">
        <f>IF('TAS Apr 2022'!BQ9=0,91*'TAS Apr 2022'!M9/100,(91*'TAS Apr 2022'!M9/100)+'TAS Apr 2022'!BQ9/4)</f>
        <v>88.12109090909091</v>
      </c>
      <c r="D23" s="107">
        <f>IF('TAS Apr 2022'!O9="",$C$17*$C$18*'TAS Apr 2022'!N9/100,IF($C$17*$C$18&gt;='TAS Apr 2022'!P9,('TAS Apr 2022'!P9*'TAS Apr 2022'!N9/100),($C$17*$C$18*'TAS Apr 2022'!N9/100)))</f>
        <v>130.90909090909091</v>
      </c>
      <c r="E23" s="107">
        <f>IF(AND('TAS Apr 2022'!P9&gt;0,'TAS Apr 2022'!R9&gt;0),IF($C$17*$C$18&lt;'TAS Apr 2022'!P9,0,IF($C$17*$C$18&lt;=('TAS Apr 2022'!R9+'TAS Apr 2022'!P9),(($C$17*$C$18-'TAS Apr 2022'!P9)*'TAS Apr 2022'!Q9/100),(('TAS Apr 2022'!R9)*'TAS Apr 2022'!Q9/100))),0)</f>
        <v>0</v>
      </c>
      <c r="F23" s="107">
        <f>IF(AND('TAS Apr 2022'!Q3&gt;0,'TAS Apr 2022'!S3&gt;0),IF($C$17*$C$18&lt;('TAS Apr 2022'!R3+'TAS Apr 2022'!P3),0,IF($C$17*$C$18&lt;=('TAS Apr 2022'!T3+'TAS Apr 2022'!R3+'TAS Apr 2022'!P3),(($C$17*$C$18-('TAS Apr 2022'!R3+'TAS Apr 2022'!P3))*'TAS Apr 2022'!S3/100),('TAS Apr 2022'!T3*'TAS Apr 2022'!S3/100))),0)</f>
        <v>0</v>
      </c>
      <c r="G23" s="107">
        <f>IF(AND('TAS Apr 2022'!R9&gt;0,'TAS Apr 2022'!T9&gt;0),IF(($C$17*$C$18&lt;'TAS Apr 2022'!T9),(0),($C$17*$C$18-'TAS Apr 2022'!T9)*'TAS Apr 2022'!U9/100),IF(AND('TAS Apr 2022'!R9&gt;0,'TAS Apr 2022'!T9=""),IF(($C$17*$C$18&lt;'TAS Apr 2022'!R9+'TAS Apr 2022'!P9),(0),(($C$17*$C$18-('TAS Apr 2022'!R9+'TAS Apr 2022'!P9))*'TAS Apr 2022'!S9/100)),IF(AND('TAS Apr 2022'!P9&gt;0,'TAS Apr 2022'!R9=""&gt;0),IF(($C$17*$C$18&lt;'TAS Apr 2022'!P9),(0),($C$17*$C$18-'TAS Apr 2022'!P9)*'TAS Apr 2022'!Q9/100),0)))</f>
        <v>580.90909090909088</v>
      </c>
      <c r="H23" s="110">
        <f>($C$17*$C$19)*'TAS Apr 2022'!AF9/100</f>
        <v>185.86363636363637</v>
      </c>
      <c r="I23" s="111">
        <f>SUM(C23:H23)</f>
        <v>985.80290909090911</v>
      </c>
      <c r="J23" s="111">
        <f>(I23-C23)*4</f>
        <v>3590.727272727273</v>
      </c>
      <c r="K23" s="111">
        <f>I23*4</f>
        <v>3943.2116363636364</v>
      </c>
      <c r="L23" s="112">
        <f>K23*1.1</f>
        <v>4337.5328000000009</v>
      </c>
      <c r="M23" s="106">
        <f>'TAS Apr 2022'!BC9</f>
        <v>0</v>
      </c>
      <c r="N23" s="106">
        <f>'TAS Apr 2022'!BD9</f>
        <v>0</v>
      </c>
      <c r="O23" s="106">
        <f>'TAS Apr 2022'!BE9</f>
        <v>0</v>
      </c>
      <c r="P23" s="106">
        <f>'TAS Apr 2022'!BF9</f>
        <v>5</v>
      </c>
      <c r="Q23" s="106" t="str">
        <f>IF(SUM(M23:P23)=0,"No discount",IF(M23&gt;0,"Guaranteed off bill",IF(N23&gt;0,"Guaranteed off usage",IF(O23&gt;0,"Pay-on-time off bill","Pay-on-time off usage"))))</f>
        <v>Pay-on-time off usage</v>
      </c>
      <c r="R23" s="106" t="str">
        <f t="shared" si="9"/>
        <v>Exclusive</v>
      </c>
      <c r="S23" s="248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3943.2116363636364</v>
      </c>
      <c r="T23" s="249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3763.6752727272728</v>
      </c>
      <c r="U23" s="112">
        <f t="shared" si="10"/>
        <v>4337.5328000000009</v>
      </c>
      <c r="V23" s="112">
        <f t="shared" si="11"/>
        <v>4140.0428000000002</v>
      </c>
      <c r="W23" s="134">
        <f>'TAS Apr 2022'!BR9</f>
        <v>0</v>
      </c>
      <c r="X23" s="267">
        <f>'TAS Apr 2022'!BO9</f>
        <v>12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</row>
    <row r="24" spans="1:44" ht="14" x14ac:dyDescent="0.15">
      <c r="A24" s="133" t="str">
        <f>'TAS Apr 2022'!K10</f>
        <v>CovaU</v>
      </c>
      <c r="B24" s="142" t="str">
        <f>'TAS Apr 2022'!L10</f>
        <v>Freedom Online</v>
      </c>
      <c r="C24" s="107">
        <f>IF('TAS Apr 2022'!BQ10=0,91*'TAS Apr 2022'!M10/100,(91*'TAS Apr 2022'!M10/100)+'TAS Apr 2022'!BQ10/4)</f>
        <v>89.022818181818167</v>
      </c>
      <c r="D24" s="107">
        <f>IF('TAS Apr 2022'!O10="",$C$17*$C$18*'TAS Apr 2022'!N10/100,IF($C$17*$C$18&gt;='TAS Apr 2022'!P10,('TAS Apr 2022'!P10*'TAS Apr 2022'!N10/100),($C$17*$C$18*'TAS Apr 2022'!N10/100)))</f>
        <v>137.81818181818181</v>
      </c>
      <c r="E24" s="107">
        <f>IF(AND('TAS Apr 2022'!P10&gt;0,'TAS Apr 2022'!R10&gt;0),IF($C$17*$C$18&lt;'TAS Apr 2022'!P10,0,IF($C$17*$C$18&lt;=('TAS Apr 2022'!R10+'TAS Apr 2022'!P10),(($C$17*$C$18-'TAS Apr 2022'!P10)*'TAS Apr 2022'!Q10/100),(('TAS Apr 2022'!R10)*'TAS Apr 2022'!Q10/100))),0)</f>
        <v>0</v>
      </c>
      <c r="F24" s="107">
        <f>IF(AND('TAS Apr 2022'!Q4&gt;0,'TAS Apr 2022'!S4&gt;0),IF($C$17*$C$18&lt;('TAS Apr 2022'!R4+'TAS Apr 2022'!P4),0,IF($C$17*$C$18&lt;=('TAS Apr 2022'!T4+'TAS Apr 2022'!R4+'TAS Apr 2022'!P4),(($C$17*$C$18-('TAS Apr 2022'!R4+'TAS Apr 2022'!P4))*'TAS Apr 2022'!S4/100),('TAS Apr 2022'!T4*'TAS Apr 2022'!S4/100))),0)</f>
        <v>0</v>
      </c>
      <c r="G24" s="107">
        <f>IF(AND('TAS Apr 2022'!R10&gt;0,'TAS Apr 2022'!T10&gt;0),IF(($C$17*$C$18&lt;'TAS Apr 2022'!T10),(0),($C$17*$C$18-'TAS Apr 2022'!T10)*'TAS Apr 2022'!U10/100),IF(AND('TAS Apr 2022'!R10&gt;0,'TAS Apr 2022'!T10=""),IF(($C$17*$C$18&lt;'TAS Apr 2022'!R10+'TAS Apr 2022'!P10),(0),(($C$17*$C$18-('TAS Apr 2022'!R10+'TAS Apr 2022'!P10))*'TAS Apr 2022'!S10/100)),IF(AND('TAS Apr 2022'!P10&gt;0,'TAS Apr 2022'!R10=""&gt;0),IF(($C$17*$C$18&lt;'TAS Apr 2022'!P10),(0),($C$17*$C$18-'TAS Apr 2022'!P10)*'TAS Apr 2022'!Q10/100),0)))</f>
        <v>611.72727272727275</v>
      </c>
      <c r="H24" s="110">
        <f>($C$17*$C$19)*'TAS Apr 2022'!AF10/100</f>
        <v>195.81818181818181</v>
      </c>
      <c r="I24" s="111">
        <f>SUM(C24:H24)</f>
        <v>1034.3864545454546</v>
      </c>
      <c r="J24" s="111">
        <f>(I24-C24)*4</f>
        <v>3781.454545454546</v>
      </c>
      <c r="K24" s="111">
        <f>I24*4</f>
        <v>4137.5458181818185</v>
      </c>
      <c r="L24" s="112">
        <f>K24*1.1</f>
        <v>4551.300400000001</v>
      </c>
      <c r="M24" s="106">
        <f>'TAS Apr 2022'!BC10</f>
        <v>0</v>
      </c>
      <c r="N24" s="106">
        <f>'TAS Apr 2022'!BD10</f>
        <v>5</v>
      </c>
      <c r="O24" s="106">
        <f>'TAS Apr 2022'!BE10</f>
        <v>0</v>
      </c>
      <c r="P24" s="106">
        <f>'TAS Apr 2022'!BF10</f>
        <v>0</v>
      </c>
      <c r="Q24" s="106" t="str">
        <f>IF(SUM(M24:P24)=0,"No discount",IF(M24&gt;0,"Guaranteed off bill",IF(N24&gt;0,"Guaranteed off usage",IF(O24&gt;0,"Pay-on-time off bill","Pay-on-time off usage"))))</f>
        <v>Guaranteed off usage</v>
      </c>
      <c r="R24" s="106" t="str">
        <f t="shared" si="9"/>
        <v>Exclusive</v>
      </c>
      <c r="S24" s="248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3948.4730909090913</v>
      </c>
      <c r="T24" s="249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3948.4730909090913</v>
      </c>
      <c r="U24" s="112">
        <f t="shared" si="10"/>
        <v>4343.3204000000005</v>
      </c>
      <c r="V24" s="112">
        <f t="shared" si="11"/>
        <v>4343.3204000000005</v>
      </c>
      <c r="W24" s="134">
        <f>'TAS Apr 2022'!BR10</f>
        <v>0</v>
      </c>
      <c r="X24" s="267">
        <f>'TAS Apr 2022'!BO10</f>
        <v>0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</row>
    <row r="25" spans="1:44" ht="15" thickBot="1" x14ac:dyDescent="0.2">
      <c r="A25" s="136" t="str">
        <f>'TAS Apr 2022'!K11</f>
        <v>Energy Locals</v>
      </c>
      <c r="B25" s="143" t="str">
        <f>'TAS Apr 2022'!L11</f>
        <v>Business Member</v>
      </c>
      <c r="C25" s="116">
        <f>IF('TAS Apr 2022'!BQ11=0,91*'TAS Apr 2022'!M11/100,(91*'TAS Apr 2022'!M11/100)+'TAS Apr 2022'!BQ11/4)</f>
        <v>124.44999999999999</v>
      </c>
      <c r="D25" s="116">
        <f>IF('TAS Apr 2022'!O11="",$C$17*$C$18*'TAS Apr 2022'!N11/100,IF($C$17*$C$18&gt;='TAS Apr 2022'!P11,('TAS Apr 2022'!P11*'TAS Apr 2022'!N11/100),($C$17*$C$18*'TAS Apr 2022'!N11/100)))</f>
        <v>127.72727272727272</v>
      </c>
      <c r="E25" s="116">
        <f>IF(AND('TAS Apr 2022'!P11&gt;0,'TAS Apr 2022'!R11&gt;0),IF($C$17*$C$18&lt;'TAS Apr 2022'!P11,0,IF($C$17*$C$18&lt;=('TAS Apr 2022'!R11+'TAS Apr 2022'!P11),(($C$17*$C$18-'TAS Apr 2022'!P11)*'TAS Apr 2022'!Q11/100),(('TAS Apr 2022'!R11)*'TAS Apr 2022'!Q11/100))),0)</f>
        <v>0</v>
      </c>
      <c r="F25" s="116">
        <f>IF(AND('TAS Apr 2022'!Q5&gt;0,'TAS Apr 2022'!S5&gt;0),IF($C$17*$C$18&lt;('TAS Apr 2022'!R5+'TAS Apr 2022'!P5),0,IF($C$17*$C$18&lt;=('TAS Apr 2022'!T5+'TAS Apr 2022'!R5+'TAS Apr 2022'!P5),(($C$17*$C$18-('TAS Apr 2022'!R5+'TAS Apr 2022'!P5))*'TAS Apr 2022'!S5/100),('TAS Apr 2022'!T5*'TAS Apr 2022'!S5/100))),0)</f>
        <v>0</v>
      </c>
      <c r="G25" s="116">
        <f>IF(AND('TAS Apr 2022'!R11&gt;0,'TAS Apr 2022'!T11&gt;0),IF(($C$17*$C$18&lt;'TAS Apr 2022'!T11),(0),($C$17*$C$18-'TAS Apr 2022'!T11)*'TAS Apr 2022'!U11/100),IF(AND('TAS Apr 2022'!R11&gt;0,'TAS Apr 2022'!T11=""),IF(($C$17*$C$18&lt;'TAS Apr 2022'!R11+'TAS Apr 2022'!P11),(0),(($C$17*$C$18-('TAS Apr 2022'!R11+'TAS Apr 2022'!P11))*'TAS Apr 2022'!S11/100)),IF(AND('TAS Apr 2022'!P11&gt;0,'TAS Apr 2022'!R11=""&gt;0),IF(($C$17*$C$18&lt;'TAS Apr 2022'!P11),(0),($C$17*$C$18-'TAS Apr 2022'!P11)*'TAS Apr 2022'!Q11/100),0)))</f>
        <v>567.27272727272725</v>
      </c>
      <c r="H25" s="119">
        <f>($C$17*$C$19)*'TAS Apr 2022'!AF11/100</f>
        <v>218.18181818181816</v>
      </c>
      <c r="I25" s="120">
        <f>SUM(C25:H25)</f>
        <v>1037.6318181818181</v>
      </c>
      <c r="J25" s="120">
        <f>(I25-C25)*4</f>
        <v>3652.7272727272721</v>
      </c>
      <c r="K25" s="120">
        <f>I25*4</f>
        <v>4150.5272727272722</v>
      </c>
      <c r="L25" s="121">
        <f>K25*1.1</f>
        <v>4565.58</v>
      </c>
      <c r="M25" s="115">
        <f>'TAS Apr 2022'!BC11</f>
        <v>0</v>
      </c>
      <c r="N25" s="115">
        <f>'TAS Apr 2022'!BD11</f>
        <v>0</v>
      </c>
      <c r="O25" s="115">
        <f>'TAS Apr 2022'!BE11</f>
        <v>0</v>
      </c>
      <c r="P25" s="115">
        <f>'TAS Apr 2022'!BF11</f>
        <v>0</v>
      </c>
      <c r="Q25" s="115" t="str">
        <f>IF(SUM(M25:P25)=0,"No discount",IF(M25&gt;0,"Guaranteed off bill",IF(N25&gt;0,"Guaranteed off usage",IF(O25&gt;0,"Pay-on-time off bill","Pay-on-time off usage"))))</f>
        <v>No discount</v>
      </c>
      <c r="R25" s="115" t="str">
        <f t="shared" ref="R25" si="12">IF(OR(A25="Origin Energy",A25="Red Energy",A25="Powershop"),"Inclusive","Exclusive")</f>
        <v>Exclusive</v>
      </c>
      <c r="S25" s="201">
        <f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4150.5272727272722</v>
      </c>
      <c r="T25" s="202">
        <f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4150.5272727272722</v>
      </c>
      <c r="U25" s="121">
        <f t="shared" ref="U25" si="13">IF(R25="Exclusive",S25*1.1,S25)</f>
        <v>4565.58</v>
      </c>
      <c r="V25" s="121">
        <f t="shared" ref="V25" si="14">IF(R25="Exclusive",T25*1.1,T25)</f>
        <v>4565.58</v>
      </c>
      <c r="W25" s="137">
        <f>'TAS Apr 2022'!BR11</f>
        <v>0</v>
      </c>
      <c r="X25" s="269">
        <f>'TAS Apr 2022'!BO11</f>
        <v>0</v>
      </c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</row>
    <row r="26" spans="1:44" ht="14" x14ac:dyDescent="0.1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8"/>
      <c r="U26" s="78"/>
      <c r="V26" s="78"/>
      <c r="W26" s="78"/>
      <c r="X26" s="78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</row>
    <row r="27" spans="1:44" ht="15" thickBo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8"/>
      <c r="U27" s="78"/>
      <c r="V27" s="78"/>
      <c r="W27" s="78"/>
      <c r="X27" s="78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</row>
    <row r="28" spans="1:44" ht="14" x14ac:dyDescent="0.15">
      <c r="A28" s="51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</row>
    <row r="29" spans="1:44" ht="14" x14ac:dyDescent="0.15">
      <c r="A29" s="54" t="s">
        <v>22</v>
      </c>
      <c r="B29" s="39"/>
      <c r="C29" s="72">
        <v>5000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</row>
    <row r="30" spans="1:44" ht="14" x14ac:dyDescent="0.15">
      <c r="A30" s="54" t="s">
        <v>23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</row>
    <row r="31" spans="1:44" ht="14" x14ac:dyDescent="0.15">
      <c r="A31" s="54" t="s">
        <v>24</v>
      </c>
      <c r="B31" s="39"/>
      <c r="C31" s="73">
        <v>0.4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</row>
    <row r="32" spans="1:44" ht="14" x14ac:dyDescent="0.15">
      <c r="A32" s="54" t="s">
        <v>21</v>
      </c>
      <c r="B32" s="39"/>
      <c r="C32" s="73">
        <v>0.3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55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</row>
    <row r="33" spans="1:44" ht="14" x14ac:dyDescent="0.15">
      <c r="A33" s="54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55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</row>
    <row r="34" spans="1:44" ht="75" x14ac:dyDescent="0.15">
      <c r="A34" s="230" t="s">
        <v>35</v>
      </c>
      <c r="B34" s="130" t="s">
        <v>36</v>
      </c>
      <c r="C34" s="124" t="s">
        <v>27</v>
      </c>
      <c r="D34" s="124" t="s">
        <v>153</v>
      </c>
      <c r="E34" s="124" t="s">
        <v>83</v>
      </c>
      <c r="F34" s="124" t="s">
        <v>154</v>
      </c>
      <c r="G34" s="124" t="s">
        <v>155</v>
      </c>
      <c r="H34" s="124" t="s">
        <v>156</v>
      </c>
      <c r="I34" s="124" t="s">
        <v>87</v>
      </c>
      <c r="J34" s="231" t="s">
        <v>243</v>
      </c>
      <c r="K34" s="232" t="s">
        <v>157</v>
      </c>
      <c r="L34" s="125" t="s">
        <v>246</v>
      </c>
      <c r="M34" s="126" t="s">
        <v>94</v>
      </c>
      <c r="N34" s="126" t="s">
        <v>123</v>
      </c>
      <c r="O34" s="126" t="s">
        <v>124</v>
      </c>
      <c r="P34" s="126" t="s">
        <v>125</v>
      </c>
      <c r="Q34" s="233" t="s">
        <v>244</v>
      </c>
      <c r="R34" s="233" t="s">
        <v>245</v>
      </c>
      <c r="S34" s="234" t="s">
        <v>66</v>
      </c>
      <c r="T34" s="234" t="s">
        <v>67</v>
      </c>
      <c r="U34" s="127" t="s">
        <v>25</v>
      </c>
      <c r="V34" s="127" t="s">
        <v>26</v>
      </c>
      <c r="W34" s="126" t="s">
        <v>55</v>
      </c>
      <c r="X34" s="128" t="s">
        <v>160</v>
      </c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ht="14" x14ac:dyDescent="0.15">
      <c r="A35" s="163" t="str">
        <f>'TAS Apr 2022'!K12</f>
        <v>Aurora Energy</v>
      </c>
      <c r="B35" s="164" t="str">
        <f>'TAS Apr 2022'!L12</f>
        <v>Regulated</v>
      </c>
      <c r="C35" s="165">
        <f>IF('TAS Apr 2022'!BQ12=0,91*'TAS Apr 2022'!M12/100,(91*'TAS Apr 2022'!M12/100)+'TAS Apr 2022'!BQ12/4)</f>
        <v>81.767636363636356</v>
      </c>
      <c r="D35" s="165">
        <f>IF('TAS Apr 2022'!O12="",$C$29*$C$30*'TAS Apr 2022'!N12/100,IF($C$29*$C$30&gt;='TAS Apr 2022'!P12,('TAS Apr 2022'!P12*'TAS Apr 2022'!N12/100),($C$29*$C$30*'TAS Apr 2022'!N12/100)))</f>
        <v>340.22727272727275</v>
      </c>
      <c r="E35" s="165">
        <f>IF(AND('TAS Apr 2022'!P12&gt;0,'TAS Apr 2022'!R12&gt;0),IF($C$29*$C$30&lt;'TAS Apr 2022'!P12,0,IF($C$29*$C$30&lt;=('TAS Apr 2022'!R12+'TAS Apr 2022'!P12),(($C$29*$C$30-'TAS Apr 2022'!P12)*'TAS Apr 2022'!Q12/100),(('TAS Apr 2022'!R12)*'TAS Apr 2022'!Q12/100))),0)</f>
        <v>0</v>
      </c>
      <c r="F35" s="165">
        <f>IF(AND('TAS Apr 2022'!R12&gt;0,'TAS Apr 2022'!T12&gt;0),IF(($C$29*$C$30&lt;'TAS Apr 2022'!T12),(0),($C$29*$C$250-'TAS Apr 2022'!T12)*'TAS Apr 2022'!U12/100),IF(AND('TAS Apr 2022'!R12&gt;0,'TAS Apr 2022'!T12=""),IF(($C$29*$C$30&lt;'TAS Apr 2022'!R12+'TAS Apr 2022'!P12),(0),(($C$29*$C$30-('TAS Apr 2022'!R12+'TAS Apr 2022'!P12))*'TAS Apr 2022'!S12/100)),IF(AND('TAS Apr 2022'!P12&gt;0,'TAS Apr 2022'!R12=""&gt;0),IF(($C$29*$C$30&lt;'TAS Apr 2022'!P12),(0),($C$29*$C$30-'TAS Apr 2022'!P12)*'TAS Apr 2022'!Q12/100),0)))</f>
        <v>0</v>
      </c>
      <c r="G35" s="166">
        <f>($C$29*$C$31)*'TAS Apr 2022'!AI12/100</f>
        <v>327.81818181818181</v>
      </c>
      <c r="H35" s="167">
        <f>($C$29*$C$32)*'TAS Apr 2022'!W12/100</f>
        <v>143.86363636363635</v>
      </c>
      <c r="I35" s="168">
        <f>SUM(C35:H35)</f>
        <v>893.67672727272736</v>
      </c>
      <c r="J35" s="168">
        <f>(I35-C35)*4</f>
        <v>3247.636363636364</v>
      </c>
      <c r="K35" s="168">
        <f>I35*4</f>
        <v>3574.7069090909094</v>
      </c>
      <c r="L35" s="169">
        <f>K35*1.1</f>
        <v>3932.1776000000009</v>
      </c>
      <c r="M35" s="170">
        <f>'TAS Apr 2022'!BC12</f>
        <v>0</v>
      </c>
      <c r="N35" s="170">
        <f>'TAS Apr 2022'!BD12</f>
        <v>0</v>
      </c>
      <c r="O35" s="170">
        <f>'TAS Apr 2022'!BE12</f>
        <v>0</v>
      </c>
      <c r="P35" s="170">
        <f>'TAS Apr 2022'!BF12</f>
        <v>0</v>
      </c>
      <c r="Q35" s="170" t="str">
        <f>IF(SUM(M35:P35)=0,"No discount",IF(M35&gt;0,"Guaranteed off bill",IF(N35&gt;0,"Guaranteed off usage",IF(O35&gt;0,"Pay-on-time off bill","Pay-on-time off usage"))))</f>
        <v>No discount</v>
      </c>
      <c r="R35" s="170" t="str">
        <f t="shared" ref="R35:R39" si="15">IF(OR(A35="Origin Energy",A35="Red Energy",A35="Powershop"),"Inclusive","Exclusive")</f>
        <v>Exclusive</v>
      </c>
      <c r="S35" s="203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3574.7069090909094</v>
      </c>
      <c r="T35" s="204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3574.7069090909094</v>
      </c>
      <c r="U35" s="169">
        <f t="shared" ref="U35:U39" si="16">IF(R35="Exclusive",S35*1.1,S35)</f>
        <v>3932.1776000000009</v>
      </c>
      <c r="V35" s="169">
        <f t="shared" ref="V35:V39" si="17">IF(R35="Exclusive",T35*1.1,T35)</f>
        <v>3932.1776000000009</v>
      </c>
      <c r="W35" s="171">
        <f>'TAS Apr 2022'!BR12</f>
        <v>0</v>
      </c>
      <c r="X35" s="267">
        <f>'TAS Apr 2022'!BO12</f>
        <v>0</v>
      </c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14" x14ac:dyDescent="0.15">
      <c r="A36" s="133" t="str">
        <f>'TAS Apr 2022'!K13</f>
        <v>1st Energy</v>
      </c>
      <c r="B36" s="142" t="str">
        <f>'TAS Apr 2022'!L13</f>
        <v>1st Saver</v>
      </c>
      <c r="C36" s="107">
        <f>IF('TAS Apr 2022'!BQ13=0,91*'TAS Apr 2022'!M13/100,(91*'TAS Apr 2022'!M13/100)+'TAS Apr 2022'!BQ13/4)</f>
        <v>80.948636363636354</v>
      </c>
      <c r="D36" s="107">
        <f>IF('TAS Apr 2022'!O13="",$C$29*$C$30*'TAS Apr 2022'!N13/100,IF($C$29*$C$30&gt;='TAS Apr 2022'!P13,('TAS Apr 2022'!P13*'TAS Apr 2022'!N13/100),($C$29*$C$30*'TAS Apr 2022'!N13/100)))</f>
        <v>322.90909090909082</v>
      </c>
      <c r="E36" s="107">
        <f>IF(AND('TAS Apr 2022'!P13&gt;0,'TAS Apr 2022'!R13&gt;0),IF($C$29*$C$30&lt;'TAS Apr 2022'!P13,0,IF($C$29*$C$30&lt;=('TAS Apr 2022'!R13+'TAS Apr 2022'!P13),(($C$29*$C$30-'TAS Apr 2022'!P13)*'TAS Apr 2022'!Q13/100),(('TAS Apr 2022'!R13)*'TAS Apr 2022'!Q13/100))),0)</f>
        <v>0</v>
      </c>
      <c r="F36" s="107">
        <f>IF(AND('TAS Apr 2022'!R13&gt;0,'TAS Apr 2022'!T13&gt;0),IF(($C$29*$C$30&lt;'TAS Apr 2022'!T13),(0),($C$29*$C$250-'TAS Apr 2022'!T13)*'TAS Apr 2022'!U13/100),IF(AND('TAS Apr 2022'!R13&gt;0,'TAS Apr 2022'!T13=""),IF(($C$29*$C$30&lt;'TAS Apr 2022'!R13+'TAS Apr 2022'!P13),(0),(($C$29*$C$30-('TAS Apr 2022'!R13+'TAS Apr 2022'!P13))*'TAS Apr 2022'!S13/100)),IF(AND('TAS Apr 2022'!P13&gt;0,'TAS Apr 2022'!R13=""&gt;0),IF(($C$29*$C$30&lt;'TAS Apr 2022'!P13),(0),($C$29*$C$30-'TAS Apr 2022'!P13)*'TAS Apr 2022'!Q13/100),0)))</f>
        <v>0</v>
      </c>
      <c r="G36" s="109">
        <f>($C$29*$C$31)*'TAS Apr 2022'!AI13/100</f>
        <v>311.45454545454538</v>
      </c>
      <c r="H36" s="110">
        <f>($C$29*$C$32)*'TAS Apr 2022'!W13/100</f>
        <v>136.5</v>
      </c>
      <c r="I36" s="111">
        <f>SUM(C36:H36)</f>
        <v>851.81227272727256</v>
      </c>
      <c r="J36" s="111">
        <f>(I36-C36)*4</f>
        <v>3083.454545454545</v>
      </c>
      <c r="K36" s="111">
        <f>I36*4</f>
        <v>3407.2490909090902</v>
      </c>
      <c r="L36" s="112">
        <f>K36*1.1</f>
        <v>3747.9739999999997</v>
      </c>
      <c r="M36" s="106">
        <f>'TAS Apr 2022'!BC13</f>
        <v>0</v>
      </c>
      <c r="N36" s="106">
        <f>'TAS Apr 2022'!BD13</f>
        <v>0</v>
      </c>
      <c r="O36" s="106">
        <f>'TAS Apr 2022'!BE13</f>
        <v>0</v>
      </c>
      <c r="P36" s="106">
        <f>'TAS Apr 2022'!BF13</f>
        <v>5</v>
      </c>
      <c r="Q36" s="106" t="str">
        <f>IF(SUM(M36:P36)=0,"No discount",IF(M36&gt;0,"Guaranteed off bill",IF(N36&gt;0,"Guaranteed off usage",IF(O36&gt;0,"Pay-on-time off bill","Pay-on-time off usage"))))</f>
        <v>Pay-on-time off usage</v>
      </c>
      <c r="R36" s="106" t="str">
        <f t="shared" si="15"/>
        <v>Exclusive</v>
      </c>
      <c r="S36" s="248">
        <f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3407.2490909090902</v>
      </c>
      <c r="T36" s="249">
        <f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3253.0763636363631</v>
      </c>
      <c r="U36" s="112">
        <f t="shared" si="16"/>
        <v>3747.9739999999997</v>
      </c>
      <c r="V36" s="112">
        <f t="shared" si="17"/>
        <v>3578.3839999999996</v>
      </c>
      <c r="W36" s="134">
        <f>'TAS Apr 2022'!BR13</f>
        <v>0</v>
      </c>
      <c r="X36" s="267">
        <f>'TAS Apr 2022'!BO13</f>
        <v>12</v>
      </c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</row>
    <row r="37" spans="1:44" ht="14" x14ac:dyDescent="0.15">
      <c r="A37" s="133" t="str">
        <f>'TAS Apr 2022'!K14</f>
        <v>CovaU</v>
      </c>
      <c r="B37" s="142" t="str">
        <f>'TAS Apr 2022'!L14</f>
        <v>Freedom Online</v>
      </c>
      <c r="C37" s="107">
        <f>IF('TAS Apr 2022'!BQ14=0,91*'TAS Apr 2022'!M14/100,(91*'TAS Apr 2022'!M14/100)+'TAS Apr 2022'!BQ14/4)</f>
        <v>81.767636363636356</v>
      </c>
      <c r="D37" s="107">
        <f>IF('TAS Apr 2022'!O14="",$C$29*$C$30*'TAS Apr 2022'!N14/100,IF($C$29*$C$30&gt;='TAS Apr 2022'!P14,('TAS Apr 2022'!P14*'TAS Apr 2022'!N14/100),($C$29*$C$30*'TAS Apr 2022'!N14/100)))</f>
        <v>340.22727272727275</v>
      </c>
      <c r="E37" s="107">
        <f>IF(AND('TAS Apr 2022'!P14&gt;0,'TAS Apr 2022'!R14&gt;0),IF($C$29*$C$30&lt;'TAS Apr 2022'!P14,0,IF($C$29*$C$30&lt;=('TAS Apr 2022'!R14+'TAS Apr 2022'!P14),(($C$29*$C$30-'TAS Apr 2022'!P14)*'TAS Apr 2022'!Q14/100),(('TAS Apr 2022'!R14)*'TAS Apr 2022'!Q14/100))),0)</f>
        <v>0</v>
      </c>
      <c r="F37" s="107">
        <f>IF(AND('TAS Apr 2022'!R14&gt;0,'TAS Apr 2022'!T14&gt;0),IF(($C$29*$C$30&lt;'TAS Apr 2022'!T14),(0),($C$29*$C$250-'TAS Apr 2022'!T14)*'TAS Apr 2022'!U14/100),IF(AND('TAS Apr 2022'!R14&gt;0,'TAS Apr 2022'!T14=""),IF(($C$29*$C$30&lt;'TAS Apr 2022'!R14+'TAS Apr 2022'!P14),(0),(($C$29*$C$30-('TAS Apr 2022'!R14+'TAS Apr 2022'!P14))*'TAS Apr 2022'!S14/100)),IF(AND('TAS Apr 2022'!P14&gt;0,'TAS Apr 2022'!R14=""&gt;0),IF(($C$29*$C$30&lt;'TAS Apr 2022'!P14),(0),($C$29*$C$30-'TAS Apr 2022'!P14)*'TAS Apr 2022'!Q14/100),0)))</f>
        <v>0</v>
      </c>
      <c r="G37" s="109">
        <f>($C$29*$C$31)*'TAS Apr 2022'!AI14/100</f>
        <v>327.81818181818181</v>
      </c>
      <c r="H37" s="110">
        <f>($C$29*$C$32)*'TAS Apr 2022'!W14/100</f>
        <v>143.86363636363635</v>
      </c>
      <c r="I37" s="111">
        <f t="shared" ref="I37:I39" si="18">SUM(C37:H37)</f>
        <v>893.67672727272736</v>
      </c>
      <c r="J37" s="111">
        <f t="shared" ref="J37:J39" si="19">(I37-C37)*4</f>
        <v>3247.636363636364</v>
      </c>
      <c r="K37" s="111">
        <f t="shared" ref="K37:K39" si="20">I37*4</f>
        <v>3574.7069090909094</v>
      </c>
      <c r="L37" s="112">
        <f t="shared" ref="L37:L39" si="21">K37*1.1</f>
        <v>3932.1776000000009</v>
      </c>
      <c r="M37" s="106">
        <f>'TAS Apr 2022'!BC14</f>
        <v>0</v>
      </c>
      <c r="N37" s="106">
        <f>'TAS Apr 2022'!BD14</f>
        <v>5</v>
      </c>
      <c r="O37" s="106">
        <f>'TAS Apr 2022'!BE14</f>
        <v>0</v>
      </c>
      <c r="P37" s="106">
        <f>'TAS Apr 2022'!BF14</f>
        <v>0</v>
      </c>
      <c r="Q37" s="106" t="str">
        <f t="shared" ref="Q37:Q39" si="22">IF(SUM(M37:P37)=0,"No discount",IF(M37&gt;0,"Guaranteed off bill",IF(N37&gt;0,"Guaranteed off usage",IF(O37&gt;0,"Pay-on-time off bill","Pay-on-time off usage"))))</f>
        <v>Guaranteed off usage</v>
      </c>
      <c r="R37" s="106" t="str">
        <f t="shared" si="15"/>
        <v>Exclusive</v>
      </c>
      <c r="S37" s="248">
        <f t="shared" ref="S37:S39" si="23"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3412.3250909090912</v>
      </c>
      <c r="T37" s="249">
        <f t="shared" ref="T37:T39" si="24"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3412.3250909090912</v>
      </c>
      <c r="U37" s="112">
        <f t="shared" si="16"/>
        <v>3753.5576000000005</v>
      </c>
      <c r="V37" s="112">
        <f t="shared" si="17"/>
        <v>3753.5576000000005</v>
      </c>
      <c r="W37" s="134">
        <f>'TAS Apr 2022'!BR14</f>
        <v>0</v>
      </c>
      <c r="X37" s="267">
        <f>'TAS Apr 2022'!BO14</f>
        <v>0</v>
      </c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</row>
    <row r="38" spans="1:44" ht="14" x14ac:dyDescent="0.15">
      <c r="A38" s="133" t="str">
        <f>'TAS Apr 2022'!K15</f>
        <v>Energy Locals</v>
      </c>
      <c r="B38" s="142" t="str">
        <f>'TAS Apr 2022'!L15</f>
        <v>Business Member</v>
      </c>
      <c r="C38" s="107">
        <f>IF('TAS Apr 2022'!BQ15=0,91*'TAS Apr 2022'!M15/100,(91*'TAS Apr 2022'!M15/100)+'TAS Apr 2022'!BQ15/4)</f>
        <v>117.83181818181816</v>
      </c>
      <c r="D38" s="107">
        <f>IF('TAS Apr 2022'!O15="",$C$29*$C$30*'TAS Apr 2022'!N15/100,IF($C$29*$C$30&gt;='TAS Apr 2022'!P15,('TAS Apr 2022'!P15*'TAS Apr 2022'!N15/100),($C$29*$C$30*'TAS Apr 2022'!N15/100)))</f>
        <v>313.63636363636363</v>
      </c>
      <c r="E38" s="107">
        <f>IF(AND('TAS Apr 2022'!P15&gt;0,'TAS Apr 2022'!R15&gt;0),IF($C$29*$C$30&lt;'TAS Apr 2022'!P15,0,IF($C$29*$C$30&lt;=('TAS Apr 2022'!R15+'TAS Apr 2022'!P15),(($C$29*$C$30-'TAS Apr 2022'!P15)*'TAS Apr 2022'!Q15/100),(('TAS Apr 2022'!R15)*'TAS Apr 2022'!Q15/100))),0)</f>
        <v>0</v>
      </c>
      <c r="F38" s="107">
        <f>IF(AND('TAS Apr 2022'!R15&gt;0,'TAS Apr 2022'!T15&gt;0),IF(($C$29*$C$30&lt;'TAS Apr 2022'!T15),(0),($C$29*$C$250-'TAS Apr 2022'!T15)*'TAS Apr 2022'!U15/100),IF(AND('TAS Apr 2022'!R15&gt;0,'TAS Apr 2022'!T15=""),IF(($C$29*$C$30&lt;'TAS Apr 2022'!R15+'TAS Apr 2022'!P15),(0),(($C$29*$C$30-('TAS Apr 2022'!R15+'TAS Apr 2022'!P15))*'TAS Apr 2022'!S15/100)),IF(AND('TAS Apr 2022'!P15&gt;0,'TAS Apr 2022'!R15=""&gt;0),IF(($C$29*$C$30&lt;'TAS Apr 2022'!P15),(0),($C$29*$C$30-'TAS Apr 2022'!P15)*'TAS Apr 2022'!Q15/100),0)))</f>
        <v>0</v>
      </c>
      <c r="G38" s="109">
        <f>($C$29*$C$31)*'TAS Apr 2022'!AI15/100</f>
        <v>309.09090909090907</v>
      </c>
      <c r="H38" s="110">
        <f>($C$29*$C$32)*'TAS Apr 2022'!W15/100</f>
        <v>136.36363636363635</v>
      </c>
      <c r="I38" s="111">
        <f t="shared" si="18"/>
        <v>876.92272727272723</v>
      </c>
      <c r="J38" s="111">
        <f t="shared" si="19"/>
        <v>3036.363636363636</v>
      </c>
      <c r="K38" s="111">
        <f t="shared" si="20"/>
        <v>3507.6909090909089</v>
      </c>
      <c r="L38" s="112">
        <f t="shared" si="21"/>
        <v>3858.46</v>
      </c>
      <c r="M38" s="106">
        <f>'TAS Apr 2022'!BC15</f>
        <v>0</v>
      </c>
      <c r="N38" s="106">
        <f>'TAS Apr 2022'!BD15</f>
        <v>0</v>
      </c>
      <c r="O38" s="106">
        <f>'TAS Apr 2022'!BE15</f>
        <v>0</v>
      </c>
      <c r="P38" s="106">
        <f>'TAS Apr 2022'!BF15</f>
        <v>0</v>
      </c>
      <c r="Q38" s="106" t="str">
        <f t="shared" si="22"/>
        <v>No discount</v>
      </c>
      <c r="R38" s="106" t="str">
        <f t="shared" si="15"/>
        <v>Exclusive</v>
      </c>
      <c r="S38" s="248">
        <f t="shared" si="23"/>
        <v>3507.6909090909089</v>
      </c>
      <c r="T38" s="249">
        <f t="shared" si="24"/>
        <v>3507.6909090909089</v>
      </c>
      <c r="U38" s="112">
        <f t="shared" si="16"/>
        <v>3858.46</v>
      </c>
      <c r="V38" s="112">
        <f t="shared" si="17"/>
        <v>3858.46</v>
      </c>
      <c r="W38" s="134">
        <f>'TAS Apr 2022'!BR15</f>
        <v>0</v>
      </c>
      <c r="X38" s="267">
        <f>'TAS Apr 2022'!BO15</f>
        <v>0</v>
      </c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</row>
    <row r="39" spans="1:44" ht="15" thickBot="1" x14ac:dyDescent="0.2">
      <c r="A39" s="136" t="str">
        <f>'TAS Apr 2022'!K16</f>
        <v>GlowPower</v>
      </c>
      <c r="B39" s="143" t="str">
        <f>'TAS Apr 2022'!L16</f>
        <v xml:space="preserve">Business </v>
      </c>
      <c r="C39" s="116">
        <f>IF('TAS Apr 2022'!BQ16=0,91*'TAS Apr 2022'!M16/100,(91*'TAS Apr 2022'!M16/100)+'TAS Apr 2022'!BQ16/4)</f>
        <v>81.775909090909067</v>
      </c>
      <c r="D39" s="116">
        <f>IF('TAS Apr 2022'!O16="",$C$29*$C$30*'TAS Apr 2022'!N16/100,IF($C$29*$C$30&gt;='TAS Apr 2022'!P16,('TAS Apr 2022'!P16*'TAS Apr 2022'!N16/100),($C$29*$C$30*'TAS Apr 2022'!N16/100)))</f>
        <v>323.0454545454545</v>
      </c>
      <c r="E39" s="116">
        <f>IF(AND('TAS Apr 2022'!P16&gt;0,'TAS Apr 2022'!R16&gt;0),IF($C$29*$C$30&lt;'TAS Apr 2022'!P16,0,IF($C$29*$C$30&lt;=('TAS Apr 2022'!R16+'TAS Apr 2022'!P16),(($C$29*$C$30-'TAS Apr 2022'!P16)*'TAS Apr 2022'!Q16/100),(('TAS Apr 2022'!R16)*'TAS Apr 2022'!Q16/100))),0)</f>
        <v>0</v>
      </c>
      <c r="F39" s="116">
        <f>IF(AND('TAS Apr 2022'!R16&gt;0,'TAS Apr 2022'!T16&gt;0),IF(($C$29*$C$30&lt;'TAS Apr 2022'!T16),(0),($C$29*$C$250-'TAS Apr 2022'!T16)*'TAS Apr 2022'!U16/100),IF(AND('TAS Apr 2022'!R16&gt;0,'TAS Apr 2022'!T16=""),IF(($C$29*$C$30&lt;'TAS Apr 2022'!R16+'TAS Apr 2022'!P16),(0),(($C$29*$C$30-('TAS Apr 2022'!R16+'TAS Apr 2022'!P16))*'TAS Apr 2022'!S16/100)),IF(AND('TAS Apr 2022'!P16&gt;0,'TAS Apr 2022'!R16=""&gt;0),IF(($C$29*$C$30&lt;'TAS Apr 2022'!P16),(0),($C$29*$C$30-'TAS Apr 2022'!P16)*'TAS Apr 2022'!Q16/100),0)))</f>
        <v>0</v>
      </c>
      <c r="G39" s="118">
        <f>($C$29*$C$31)*'TAS Apr 2022'!AI16/100</f>
        <v>381.81818181818176</v>
      </c>
      <c r="H39" s="119">
        <f>($C$29*$C$32)*'TAS Apr 2022'!W16/100</f>
        <v>150.13636363636363</v>
      </c>
      <c r="I39" s="120">
        <f t="shared" si="18"/>
        <v>936.77590909090895</v>
      </c>
      <c r="J39" s="120">
        <f t="shared" si="19"/>
        <v>3419.9999999999995</v>
      </c>
      <c r="K39" s="120">
        <f t="shared" si="20"/>
        <v>3747.1036363636358</v>
      </c>
      <c r="L39" s="121">
        <f t="shared" si="21"/>
        <v>4121.8139999999994</v>
      </c>
      <c r="M39" s="115">
        <f>'TAS Apr 2022'!BC16</f>
        <v>0</v>
      </c>
      <c r="N39" s="115">
        <f>'TAS Apr 2022'!BD16</f>
        <v>0</v>
      </c>
      <c r="O39" s="115">
        <f>'TAS Apr 2022'!BE16</f>
        <v>0</v>
      </c>
      <c r="P39" s="115">
        <f>'TAS Apr 2022'!BF16</f>
        <v>0</v>
      </c>
      <c r="Q39" s="115" t="str">
        <f t="shared" si="22"/>
        <v>No discount</v>
      </c>
      <c r="R39" s="115" t="str">
        <f t="shared" si="15"/>
        <v>Exclusive</v>
      </c>
      <c r="S39" s="201">
        <f t="shared" si="23"/>
        <v>3747.1036363636358</v>
      </c>
      <c r="T39" s="202">
        <f t="shared" si="24"/>
        <v>3747.1036363636358</v>
      </c>
      <c r="U39" s="121">
        <f t="shared" si="16"/>
        <v>4121.8139999999994</v>
      </c>
      <c r="V39" s="121">
        <f t="shared" si="17"/>
        <v>4121.8139999999994</v>
      </c>
      <c r="W39" s="137">
        <f>'TAS Apr 2022'!BR16</f>
        <v>0</v>
      </c>
      <c r="X39" s="269">
        <f>'TAS Apr 2022'!BO16</f>
        <v>0</v>
      </c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</row>
    <row r="40" spans="1:44" ht="14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8"/>
      <c r="U40" s="78"/>
      <c r="V40" s="78"/>
      <c r="W40" s="78"/>
      <c r="X40" s="78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</row>
    <row r="41" spans="1:44" ht="14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8"/>
      <c r="U41" s="78"/>
      <c r="V41" s="78"/>
      <c r="W41" s="78"/>
      <c r="X41" s="78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</row>
    <row r="42" spans="1:44" ht="14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8"/>
      <c r="U42" s="78"/>
      <c r="V42" s="78"/>
      <c r="W42" s="78"/>
      <c r="X42" s="78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</row>
    <row r="43" spans="1:44" ht="14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8"/>
      <c r="U43" s="78"/>
      <c r="V43" s="78"/>
      <c r="W43" s="78"/>
      <c r="X43" s="78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</row>
    <row r="44" spans="1:44" ht="14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8"/>
      <c r="U44" s="78"/>
      <c r="V44" s="78"/>
      <c r="W44" s="78"/>
      <c r="X44" s="78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</row>
    <row r="45" spans="1:44" ht="14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8"/>
      <c r="U45" s="78"/>
      <c r="V45" s="78"/>
      <c r="W45" s="78"/>
      <c r="X45" s="78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</row>
    <row r="46" spans="1:44" ht="14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8"/>
      <c r="U46" s="78"/>
      <c r="V46" s="78"/>
      <c r="W46" s="78"/>
      <c r="X46" s="78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</row>
    <row r="47" spans="1:44" ht="14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8"/>
      <c r="U47" s="78"/>
      <c r="V47" s="78"/>
      <c r="W47" s="78"/>
      <c r="X47" s="78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</row>
    <row r="48" spans="1:44" ht="14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8"/>
      <c r="U48" s="78"/>
      <c r="V48" s="78"/>
      <c r="W48" s="78"/>
      <c r="X48" s="78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</row>
    <row r="49" spans="1:44" ht="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8"/>
      <c r="U49" s="78"/>
      <c r="V49" s="78"/>
      <c r="W49" s="78"/>
      <c r="X49" s="78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44" ht="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8"/>
      <c r="U50" s="78"/>
      <c r="V50" s="78"/>
      <c r="W50" s="78"/>
      <c r="X50" s="78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44" ht="14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8"/>
      <c r="U51" s="78"/>
      <c r="V51" s="78"/>
      <c r="W51" s="78"/>
      <c r="X51" s="78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</row>
    <row r="52" spans="1:44" ht="14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8"/>
      <c r="U52" s="78"/>
      <c r="V52" s="78"/>
      <c r="W52" s="78"/>
      <c r="X52" s="78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</row>
    <row r="53" spans="1:44" ht="14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8"/>
      <c r="U53" s="78"/>
      <c r="V53" s="78"/>
      <c r="W53" s="78"/>
      <c r="X53" s="78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</row>
    <row r="54" spans="1:44" ht="14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8"/>
      <c r="U54" s="78"/>
      <c r="V54" s="78"/>
      <c r="W54" s="78"/>
      <c r="X54" s="78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</row>
    <row r="55" spans="1:44" ht="14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8"/>
      <c r="U55" s="78"/>
      <c r="V55" s="78"/>
      <c r="W55" s="78"/>
      <c r="X55" s="78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</row>
    <row r="56" spans="1:44" ht="14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8"/>
      <c r="U56" s="78"/>
      <c r="V56" s="78"/>
      <c r="W56" s="78"/>
      <c r="X56" s="78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</row>
    <row r="57" spans="1:44" ht="14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8"/>
      <c r="U57" s="78"/>
      <c r="V57" s="78"/>
      <c r="W57" s="78"/>
      <c r="X57" s="78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44" ht="14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8"/>
      <c r="U58" s="78"/>
      <c r="V58" s="78"/>
      <c r="W58" s="78"/>
      <c r="X58" s="78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</row>
    <row r="59" spans="1:44" ht="14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8"/>
      <c r="U59" s="78"/>
      <c r="V59" s="78"/>
      <c r="W59" s="78"/>
      <c r="X59" s="78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</row>
    <row r="60" spans="1:44" ht="14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8"/>
      <c r="U60" s="78"/>
      <c r="V60" s="78"/>
      <c r="W60" s="78"/>
      <c r="X60" s="78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</row>
    <row r="61" spans="1:44" ht="14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8"/>
      <c r="U61" s="78"/>
      <c r="V61" s="78"/>
      <c r="W61" s="78"/>
      <c r="X61" s="78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</row>
    <row r="62" spans="1:44" ht="14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8"/>
      <c r="U62" s="78"/>
      <c r="V62" s="78"/>
      <c r="W62" s="78"/>
      <c r="X62" s="78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</row>
    <row r="63" spans="1:44" ht="14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8"/>
      <c r="U63" s="78"/>
      <c r="V63" s="78"/>
      <c r="W63" s="78"/>
      <c r="X63" s="78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</row>
    <row r="64" spans="1:44" ht="14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8"/>
      <c r="U64" s="78"/>
      <c r="V64" s="78"/>
      <c r="W64" s="78"/>
      <c r="X64" s="78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</row>
  </sheetData>
  <sheetProtection algorithmName="SHA-512" hashValue="MeAy+v7UvVSVnurRohB8zqlja6kPwyvN5/gK6/GcNJp/jullG2RzH3aaxkVKQfAD1TWwO/pm9JUdHUojU/BQoA==" saltValue="0GTCVO3CEB0E/4YqNnkqOg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B3F9-9D54-A046-90A7-7409082B9753}">
  <sheetPr codeName="Sheet23">
    <tabColor theme="9" tint="0.79998168889431442"/>
  </sheetPr>
  <dimension ref="A1:AR63"/>
  <sheetViews>
    <sheetView zoomScaleNormal="100" zoomScalePageLayoutView="120" workbookViewId="0">
      <selection activeCell="C8" sqref="C8:C13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60" t="s">
        <v>149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</row>
    <row r="2" spans="1:44" ht="14" x14ac:dyDescent="0.15">
      <c r="A2" s="261" t="s">
        <v>48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</row>
    <row r="3" spans="1:44" ht="15" thickBot="1" x14ac:dyDescent="0.2">
      <c r="A3" s="260"/>
      <c r="B3" s="260"/>
      <c r="C3" s="260"/>
      <c r="D3" s="260"/>
      <c r="E3" s="260"/>
      <c r="F3" s="260"/>
      <c r="G3" s="262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</row>
    <row r="8" spans="1:44" ht="14" x14ac:dyDescent="0.15">
      <c r="A8" s="163" t="str">
        <f>'TAS Oct 2021'!K2</f>
        <v>Aurora Energy</v>
      </c>
      <c r="B8" s="164" t="str">
        <f>'TAS Oct 2021'!L2</f>
        <v>Regulated</v>
      </c>
      <c r="C8" s="165">
        <f>IF('TAS Oct 2021'!BQ2=0,91*'TAS Oct 2021'!M2/100,(91*'TAS Oct 2021'!M2/100)+'TAS Oct 2021'!BQ2/4)</f>
        <v>75.48863636363636</v>
      </c>
      <c r="D8" s="165">
        <f>IF('TAS Oct 2021'!O2="",$C$5*'TAS Oct 2021'!N2/100,IF($C$5&gt;='TAS Oct 2021'!P2,('TAS Oct 2021'!P2*'TAS Oct 2021'!N2/100),($C$5*'TAS Oct 2021'!N2/100)))</f>
        <v>137.81818181818181</v>
      </c>
      <c r="E8" s="165">
        <f>IF(AND('TAS Oct 2021'!P2&gt;0,'TAS Oct 2021'!R2&gt;0),IF($C$5&lt;'TAS Oct 2021'!P2,0,IF($C$5&lt;=('TAS Oct 2021'!R2+'TAS Oct 2021'!P2),(($C$5-'TAS Oct 2021'!P2)*'TAS Oct 2021'!Q2/100),(('TAS Oct 2021'!R2)*'TAS Oct 2021'!Q2/100))),0)</f>
        <v>0</v>
      </c>
      <c r="F8" s="165">
        <f>IF(AND('TAS Oct 2021'!Q2&gt;0,'TAS Oct 2021'!S2&gt;0),IF($C$5&lt;('TAS Oct 2021'!R2+'TAS Oct 2021'!P2),0,IF($C$5&lt;=('TAS Oct 2021'!T2+'TAS Oct 2021'!R2+'TAS Oct 2021'!P2),(($C$5-('TAS Oct 2021'!R2+'TAS Oct 2021'!P2))*'TAS Oct 2021'!S2/100),('TAS Oct 2021'!T2*'TAS Oct 2021'!S2/100))),0)</f>
        <v>0</v>
      </c>
      <c r="G8" s="166">
        <v>0</v>
      </c>
      <c r="H8" s="165">
        <f>IF(AND('TAS Oct 2021'!R2&gt;0,'TAS Oct 2021'!T2&gt;0),IF(($C$5&lt;'TAS Oct 2021'!T2),(0),($C$5-'TAS Oct 2021'!T2)*'TAS Oct 2021'!U2/100),IF(AND('TAS Oct 2021'!R2&gt;0,'TAS Oct 2021'!T2=""),IF(($C$5&lt;'TAS Oct 2021'!R2+'TAS Oct 2021'!P2),(0),(($C$5-('TAS Oct 2021'!R2+'TAS Oct 2021'!P2))*'TAS Oct 2021'!S2/100)),IF(AND('TAS Oct 2021'!P2&gt;0,'TAS Oct 2021'!R2=""&gt;0),IF(($C$5&lt;'TAS Oct 2021'!P2),(0),($C$5-'TAS Oct 2021'!P2)*'TAS Oct 2021'!Q2/100),0)))</f>
        <v>917.59090909090912</v>
      </c>
      <c r="I8" s="168">
        <f>SUM(C8:H8)</f>
        <v>1130.8977272727273</v>
      </c>
      <c r="J8" s="168">
        <f>(I8-C8)*4</f>
        <v>4221.636363636364</v>
      </c>
      <c r="K8" s="168">
        <f>I8*4</f>
        <v>4523.590909090909</v>
      </c>
      <c r="L8" s="169">
        <f>K8*1.1</f>
        <v>4975.9500000000007</v>
      </c>
      <c r="M8" s="170">
        <f>'TAS Oct 2021'!BC2</f>
        <v>0</v>
      </c>
      <c r="N8" s="170">
        <f>'TAS Oct 2021'!BD2</f>
        <v>0</v>
      </c>
      <c r="O8" s="170">
        <f>'TAS Oct 2021'!BE2</f>
        <v>0</v>
      </c>
      <c r="P8" s="170">
        <f>'TAS Oct 2021'!BF2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0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69">
        <f t="shared" ref="U8:V10" si="1">S8*1.1</f>
        <v>4975.9500000000007</v>
      </c>
      <c r="V8" s="169">
        <f t="shared" si="1"/>
        <v>4975.9500000000007</v>
      </c>
      <c r="W8" s="171">
        <f>'TAS Oct 2021'!BR2</f>
        <v>0</v>
      </c>
      <c r="X8" s="172">
        <f>'TAS Oct 2021'!BO2</f>
        <v>0</v>
      </c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</row>
    <row r="9" spans="1:44" ht="14" x14ac:dyDescent="0.15">
      <c r="A9" s="133" t="str">
        <f>'TAS Oct 2021'!K3</f>
        <v>1st Energy</v>
      </c>
      <c r="B9" s="142" t="str">
        <f>'TAS Oct 2021'!L3</f>
        <v>1st Saver</v>
      </c>
      <c r="C9" s="107">
        <f>IF('TAS Oct 2021'!BQ3=0,91*'TAS Oct 2021'!M3/100,(91*'TAS Oct 2021'!M3/100)+'TAS Oct 2021'!BQ3/4)</f>
        <v>75.48863636363636</v>
      </c>
      <c r="D9" s="107">
        <f>IF('TAS Oct 2021'!O3="",$C$5*'TAS Oct 2021'!N3/100,IF($C$5&gt;='TAS Oct 2021'!P3,('TAS Oct 2021'!P3*'TAS Oct 2021'!N3/100),($C$5*'TAS Oct 2021'!N3/100)))</f>
        <v>137.81818181818181</v>
      </c>
      <c r="E9" s="107">
        <f>IF(AND('TAS Oct 2021'!P3&gt;0,'TAS Oct 2021'!R3&gt;0),IF($C$5&lt;'TAS Oct 2021'!P3,0,IF($C$5&lt;=('TAS Oct 2021'!R3+'TAS Oct 2021'!P3),(($C$5-'TAS Oct 2021'!P3)*'TAS Oct 2021'!Q3/100),(('TAS Oct 2021'!R3)*'TAS Oct 2021'!Q3/100))),0)</f>
        <v>0</v>
      </c>
      <c r="F9" s="107">
        <f>IF(AND('TAS Oct 2021'!Q3&gt;0,'TAS Oct 2021'!S3&gt;0),IF($C$5&lt;('TAS Oct 2021'!R3+'TAS Oct 2021'!P3),0,IF($C$5&lt;=('TAS Oct 2021'!T3+'TAS Oct 2021'!R3+'TAS Oct 2021'!P3),(($C$5-('TAS Oct 2021'!R3+'TAS Oct 2021'!P3))*'TAS Oct 2021'!S3/100),('TAS Oct 2021'!T3*'TAS Oct 2021'!S3/100))),0)</f>
        <v>0</v>
      </c>
      <c r="G9" s="109">
        <v>0</v>
      </c>
      <c r="H9" s="107">
        <f>IF(AND('TAS Oct 2021'!R3&gt;0,'TAS Oct 2021'!T3&gt;0),IF(($C$5&lt;'TAS Oct 2021'!T3),(0),($C$5-'TAS Oct 2021'!T3)*'TAS Oct 2021'!U3/100),IF(AND('TAS Oct 2021'!R3&gt;0,'TAS Oct 2021'!T3=""),IF(($C$5&lt;'TAS Oct 2021'!R3+'TAS Oct 2021'!P3),(0),(($C$5-('TAS Oct 2021'!R3+'TAS Oct 2021'!P3))*'TAS Oct 2021'!S3/100)),IF(AND('TAS Oct 2021'!P3&gt;0,'TAS Oct 2021'!R3=""&gt;0),IF(($C$5&lt;'TAS Oct 2021'!P3),(0),($C$5-'TAS Oct 2021'!P3)*'TAS Oct 2021'!Q3/100),0)))</f>
        <v>917.18181818181824</v>
      </c>
      <c r="I9" s="111">
        <f>SUM(C9:H9)</f>
        <v>1130.4886363636365</v>
      </c>
      <c r="J9" s="111">
        <f>(I9-C9)*4</f>
        <v>4220.0000000000009</v>
      </c>
      <c r="K9" s="111">
        <f>I9*4</f>
        <v>4521.954545454546</v>
      </c>
      <c r="L9" s="112">
        <f>K9*1.1</f>
        <v>4974.1500000000005</v>
      </c>
      <c r="M9" s="106">
        <f>'TAS Oct 2021'!BC3</f>
        <v>0</v>
      </c>
      <c r="N9" s="106">
        <f>'TAS Oct 2021'!BD3</f>
        <v>0</v>
      </c>
      <c r="O9" s="106">
        <f>'TAS Oct 2021'!BE3</f>
        <v>0</v>
      </c>
      <c r="P9" s="106">
        <f>'TAS Oct 2021'!BF3</f>
        <v>5</v>
      </c>
      <c r="Q9" s="106" t="str">
        <f>IF(SUM(M9:P9)=0,"No discount",IF(M9&gt;0,"Guaranteed off bill",IF(N9&gt;0,"Guaranteed off usage",IF(O9&gt;0,"Pay-on-time off bill","Pay-on-time off usage"))))</f>
        <v>Pay-on-time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4521.954545454546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4310.954545454546</v>
      </c>
      <c r="U9" s="112">
        <f t="shared" si="1"/>
        <v>4974.1500000000005</v>
      </c>
      <c r="V9" s="112">
        <f t="shared" si="1"/>
        <v>4742.0500000000011</v>
      </c>
      <c r="W9" s="266">
        <f>'TAS Oct 2021'!BR3</f>
        <v>0</v>
      </c>
      <c r="X9" s="267">
        <f>'TAS Oct 2021'!BO3</f>
        <v>12</v>
      </c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 ht="14" x14ac:dyDescent="0.15">
      <c r="A10" s="133" t="str">
        <f>'TAS Oct 2021'!K4</f>
        <v>Future X Power</v>
      </c>
      <c r="B10" s="142" t="str">
        <f>'TAS Oct 2021'!L4</f>
        <v>Flexi Saver</v>
      </c>
      <c r="C10" s="107">
        <f>IF('TAS Oct 2021'!BQ4=0,91*'TAS Oct 2021'!M4/100,(91*'TAS Oct 2021'!M4/100)+'TAS Oct 2021'!BQ4/4)</f>
        <v>78.177272727272722</v>
      </c>
      <c r="D10" s="107">
        <f>IF('TAS Oct 2021'!O4="",$C$5*'TAS Oct 2021'!N4/100,IF($C$5&gt;='TAS Oct 2021'!P4,('TAS Oct 2021'!P4*'TAS Oct 2021'!N4/100),($C$5*'TAS Oct 2021'!N4/100)))</f>
        <v>142.72727272727269</v>
      </c>
      <c r="E10" s="107">
        <f>IF(AND('TAS Oct 2021'!P4&gt;0,'TAS Oct 2021'!R4&gt;0),IF($C$5&lt;'TAS Oct 2021'!P4,0,IF($C$5&lt;=('TAS Oct 2021'!R4+'TAS Oct 2021'!P4),(($C$5-'TAS Oct 2021'!P4)*'TAS Oct 2021'!Q4/100),(('TAS Oct 2021'!R4)*'TAS Oct 2021'!Q4/100))),0)</f>
        <v>0</v>
      </c>
      <c r="F10" s="107">
        <f>IF(AND('TAS Oct 2021'!Q4&gt;0,'TAS Oct 2021'!S4&gt;0),IF($C$5&lt;('TAS Oct 2021'!R4+'TAS Oct 2021'!P4),0,IF($C$5&lt;=('TAS Oct 2021'!T4+'TAS Oct 2021'!R4+'TAS Oct 2021'!P4),(($C$5-('TAS Oct 2021'!R4+'TAS Oct 2021'!P4))*'TAS Oct 2021'!S4/100),('TAS Oct 2021'!T4*'TAS Oct 2021'!S4/100))),0)</f>
        <v>0</v>
      </c>
      <c r="G10" s="109">
        <v>0</v>
      </c>
      <c r="H10" s="107">
        <f>IF(AND('TAS Oct 2021'!R4&gt;0,'TAS Oct 2021'!T4&gt;0),IF(($C$5&lt;'TAS Oct 2021'!T4),(0),($C$5-'TAS Oct 2021'!T4)*'TAS Oct 2021'!U4/100),IF(AND('TAS Oct 2021'!R4&gt;0,'TAS Oct 2021'!T4=""),IF(($C$5&lt;'TAS Oct 2021'!R4+'TAS Oct 2021'!P4),(0),(($C$5-('TAS Oct 2021'!R4+'TAS Oct 2021'!P4))*'TAS Oct 2021'!S4/100)),IF(AND('TAS Oct 2021'!P4&gt;0,'TAS Oct 2021'!R4=""&gt;0),IF(($C$5&lt;'TAS Oct 2021'!P4),(0),($C$5-'TAS Oct 2021'!P4)*'TAS Oct 2021'!Q4/100),0)))</f>
        <v>949.09090909090912</v>
      </c>
      <c r="I10" s="111">
        <f>SUM(C10:H10)</f>
        <v>1169.9954545454545</v>
      </c>
      <c r="J10" s="111">
        <f>(I10-C10)*4</f>
        <v>4367.272727272727</v>
      </c>
      <c r="K10" s="111">
        <f>I10*4</f>
        <v>4679.9818181818182</v>
      </c>
      <c r="L10" s="112">
        <f>K10*1.1</f>
        <v>5147.9800000000005</v>
      </c>
      <c r="M10" s="106">
        <f>'TAS Oct 2021'!BC4</f>
        <v>0</v>
      </c>
      <c r="N10" s="106">
        <f>'TAS Oct 2021'!BD4</f>
        <v>0</v>
      </c>
      <c r="O10" s="106">
        <f>'TAS Oct 2021'!BE4</f>
        <v>3</v>
      </c>
      <c r="P10" s="106">
        <f>'TAS Oct 2021'!BF4</f>
        <v>0</v>
      </c>
      <c r="Q10" s="106" t="str">
        <f>IF(SUM(M10:P10)=0,"No discount",IF(M10&gt;0,"Guaranteed off bill",IF(N10&gt;0,"Guaranteed off usage",IF(O10&gt;0,"Pay-on-time off bill","Pay-on-time off usage"))))</f>
        <v>Pay-on-time off bill</v>
      </c>
      <c r="R10" s="106" t="str">
        <f t="shared" si="0"/>
        <v>Exclusive</v>
      </c>
      <c r="S10" s="248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4679.9818181818182</v>
      </c>
      <c r="T10" s="249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4539.5823636363639</v>
      </c>
      <c r="U10" s="112">
        <f t="shared" si="1"/>
        <v>5147.9800000000005</v>
      </c>
      <c r="V10" s="112">
        <f t="shared" si="1"/>
        <v>4993.5406000000003</v>
      </c>
      <c r="W10" s="266">
        <f>'TAS Oct 2021'!BR4</f>
        <v>0</v>
      </c>
      <c r="X10" s="267">
        <f>'TAS Oct 2021'!BO4</f>
        <v>0</v>
      </c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</row>
    <row r="11" spans="1:44" ht="14" x14ac:dyDescent="0.15">
      <c r="A11" s="133" t="str">
        <f>'TAS Oct 2021'!K5</f>
        <v>Covau</v>
      </c>
      <c r="B11" s="142" t="str">
        <f>'TAS Oct 2021'!L5</f>
        <v>Freedom</v>
      </c>
      <c r="C11" s="107">
        <f>IF('TAS Oct 2021'!BQ5=0,91*'TAS Oct 2021'!M5/100,(91*'TAS Oct 2021'!M5/100)+'TAS Oct 2021'!BQ5/4)</f>
        <v>75.48863636363636</v>
      </c>
      <c r="D11" s="107">
        <f>IF('TAS Oct 2021'!O5="",$C$5*'TAS Oct 2021'!N5/100,IF($C$5&gt;='TAS Oct 2021'!P5,('TAS Oct 2021'!P5*'TAS Oct 2021'!N5/100),($C$5*'TAS Oct 2021'!N5/100)))</f>
        <v>137.81818181818181</v>
      </c>
      <c r="E11" s="107">
        <f>IF(AND('TAS Oct 2021'!P5&gt;0,'TAS Oct 2021'!R5&gt;0),IF($C$5&lt;'TAS Oct 2021'!P5,0,IF($C$5&lt;=('TAS Oct 2021'!R5+'TAS Oct 2021'!P5),(($C$5-'TAS Oct 2021'!P5)*'TAS Oct 2021'!Q5/100),(('TAS Oct 2021'!R5)*'TAS Oct 2021'!Q5/100))),0)</f>
        <v>0</v>
      </c>
      <c r="F11" s="107">
        <f>IF(AND('TAS Oct 2021'!Q5&gt;0,'TAS Oct 2021'!S5&gt;0),IF($C$5&lt;('TAS Oct 2021'!R5+'TAS Oct 2021'!P5),0,IF($C$5&lt;=('TAS Oct 2021'!T5+'TAS Oct 2021'!R5+'TAS Oct 2021'!P5),(($C$5-('TAS Oct 2021'!R5+'TAS Oct 2021'!P5))*'TAS Oct 2021'!S5/100),('TAS Oct 2021'!T5*'TAS Oct 2021'!S5/100))),0)</f>
        <v>0</v>
      </c>
      <c r="G11" s="109">
        <v>0</v>
      </c>
      <c r="H11" s="107">
        <f>IF(AND('TAS Oct 2021'!R5&gt;0,'TAS Oct 2021'!T5&gt;0),IF(($C$5&lt;'TAS Oct 2021'!T5),(0),($C$5-'TAS Oct 2021'!T5)*'TAS Oct 2021'!U5/100),IF(AND('TAS Oct 2021'!R5&gt;0,'TAS Oct 2021'!T5=""),IF(($C$5&lt;'TAS Oct 2021'!R5+'TAS Oct 2021'!P5),(0),(($C$5-('TAS Oct 2021'!R5+'TAS Oct 2021'!P5))*'TAS Oct 2021'!S5/100)),IF(AND('TAS Oct 2021'!P5&gt;0,'TAS Oct 2021'!R5=""&gt;0),IF(($C$5&lt;'TAS Oct 2021'!P5),(0),($C$5-'TAS Oct 2021'!P5)*'TAS Oct 2021'!Q5/100),0)))</f>
        <v>917.59090909090912</v>
      </c>
      <c r="I11" s="111">
        <f t="shared" ref="I11:I13" si="2">SUM(C11:H11)</f>
        <v>1130.8977272727273</v>
      </c>
      <c r="J11" s="111">
        <f t="shared" ref="J11:J13" si="3">(I11-C11)*4</f>
        <v>4221.636363636364</v>
      </c>
      <c r="K11" s="111">
        <f t="shared" ref="K11:K13" si="4">I11*4</f>
        <v>4523.590909090909</v>
      </c>
      <c r="L11" s="112">
        <f t="shared" ref="L11:L13" si="5">K11*1.1</f>
        <v>4975.9500000000007</v>
      </c>
      <c r="M11" s="106">
        <f>'TAS Oct 2021'!BC5</f>
        <v>0</v>
      </c>
      <c r="N11" s="106">
        <f>'TAS Oct 2021'!BD5</f>
        <v>0</v>
      </c>
      <c r="O11" s="106">
        <f>'TAS Oct 2021'!BE5</f>
        <v>5</v>
      </c>
      <c r="P11" s="106">
        <f>'TAS Oct 2021'!BF5</f>
        <v>0</v>
      </c>
      <c r="Q11" s="106" t="str">
        <f t="shared" ref="Q11:Q13" si="6">IF(SUM(M11:P11)=0,"No discount",IF(M11&gt;0,"Guaranteed off bill",IF(N11&gt;0,"Guaranteed off usage",IF(O11&gt;0,"Pay-on-time off bill","Pay-on-time off usage"))))</f>
        <v>Pay-on-time off bill</v>
      </c>
      <c r="R11" s="106" t="str">
        <f t="shared" ref="R11:R13" si="7">IF(OR(A11="Origin Energy",A11="Red Energy",A11="Powershop"),"Inclusive","Exclusive")</f>
        <v>Exclusive</v>
      </c>
      <c r="S11" s="248">
        <f t="shared" ref="S11:S13" si="8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4523.590909090909</v>
      </c>
      <c r="T11" s="249">
        <f t="shared" ref="T11:T13" si="9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4297.4113636363636</v>
      </c>
      <c r="U11" s="112">
        <f t="shared" ref="U11:U13" si="10">S11*1.1</f>
        <v>4975.9500000000007</v>
      </c>
      <c r="V11" s="112">
        <f t="shared" ref="V11:V13" si="11">T11*1.1</f>
        <v>4727.1525000000001</v>
      </c>
      <c r="W11" s="266">
        <f>'TAS Oct 2021'!BR5</f>
        <v>0</v>
      </c>
      <c r="X11" s="267">
        <f>'TAS Oct 2021'!BO5</f>
        <v>0</v>
      </c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</row>
    <row r="12" spans="1:44" ht="14" x14ac:dyDescent="0.15">
      <c r="A12" s="133" t="str">
        <f>'TAS Oct 2021'!K6</f>
        <v>Energy Locals</v>
      </c>
      <c r="B12" s="142" t="str">
        <f>'TAS Oct 2021'!L6</f>
        <v>Business Member</v>
      </c>
      <c r="C12" s="107">
        <f>IF('TAS Oct 2021'!BQ6=0,91*'TAS Oct 2021'!M6/100,(91*'TAS Oct 2021'!M6/100)+'TAS Oct 2021'!BQ6/4)</f>
        <v>111.21363636363635</v>
      </c>
      <c r="D12" s="107">
        <f>IF('TAS Oct 2021'!O6="",$C$5*'TAS Oct 2021'!N6/100,IF($C$5&gt;='TAS Oct 2021'!P6,('TAS Oct 2021'!P6*'TAS Oct 2021'!N6/100),($C$5*'TAS Oct 2021'!N6/100)))</f>
        <v>127.72727272727272</v>
      </c>
      <c r="E12" s="107">
        <f>IF(AND('TAS Oct 2021'!P6&gt;0,'TAS Oct 2021'!R6&gt;0),IF($C$5&lt;'TAS Oct 2021'!P6,0,IF($C$5&lt;=('TAS Oct 2021'!R6+'TAS Oct 2021'!P6),(($C$5-'TAS Oct 2021'!P6)*'TAS Oct 2021'!Q6/100),(('TAS Oct 2021'!R6)*'TAS Oct 2021'!Q6/100))),0)</f>
        <v>0</v>
      </c>
      <c r="F12" s="107">
        <f>IF(AND('TAS Oct 2021'!Q6&gt;0,'TAS Oct 2021'!S6&gt;0),IF($C$5&lt;('TAS Oct 2021'!R6+'TAS Oct 2021'!P6),0,IF($C$5&lt;=('TAS Oct 2021'!T6+'TAS Oct 2021'!R6+'TAS Oct 2021'!P6),(($C$5-('TAS Oct 2021'!R6+'TAS Oct 2021'!P6))*'TAS Oct 2021'!S6/100),('TAS Oct 2021'!T6*'TAS Oct 2021'!S6/100))),0)</f>
        <v>0</v>
      </c>
      <c r="G12" s="109">
        <v>0</v>
      </c>
      <c r="H12" s="107">
        <f>IF(AND('TAS Oct 2021'!R6&gt;0,'TAS Oct 2021'!T6&gt;0),IF(($C$5&lt;'TAS Oct 2021'!T6),(0),($C$5-'TAS Oct 2021'!T6)*'TAS Oct 2021'!U6/100),IF(AND('TAS Oct 2021'!R6&gt;0,'TAS Oct 2021'!T6=""),IF(($C$5&lt;'TAS Oct 2021'!R6+'TAS Oct 2021'!P6),(0),(($C$5-('TAS Oct 2021'!R6+'TAS Oct 2021'!P6))*'TAS Oct 2021'!S6/100)),IF(AND('TAS Oct 2021'!P6&gt;0,'TAS Oct 2021'!R6=""&gt;0),IF(($C$5&lt;'TAS Oct 2021'!P6),(0),($C$5-'TAS Oct 2021'!P6)*'TAS Oct 2021'!Q6/100),0)))</f>
        <v>850.90909090909076</v>
      </c>
      <c r="I12" s="111">
        <f t="shared" si="2"/>
        <v>1089.8499999999999</v>
      </c>
      <c r="J12" s="111">
        <f t="shared" si="3"/>
        <v>3914.545454545454</v>
      </c>
      <c r="K12" s="111">
        <f t="shared" si="4"/>
        <v>4359.3999999999996</v>
      </c>
      <c r="L12" s="112">
        <f t="shared" si="5"/>
        <v>4795.34</v>
      </c>
      <c r="M12" s="106">
        <f>'TAS Oct 2021'!BC6</f>
        <v>0</v>
      </c>
      <c r="N12" s="106">
        <f>'TAS Oct 2021'!BD6</f>
        <v>0</v>
      </c>
      <c r="O12" s="106">
        <f>'TAS Oct 2021'!BE6</f>
        <v>0</v>
      </c>
      <c r="P12" s="106">
        <f>'TAS Oct 2021'!BF6</f>
        <v>0</v>
      </c>
      <c r="Q12" s="106" t="str">
        <f t="shared" si="6"/>
        <v>No discount</v>
      </c>
      <c r="R12" s="106" t="str">
        <f t="shared" si="7"/>
        <v>Exclusive</v>
      </c>
      <c r="S12" s="248">
        <f t="shared" si="8"/>
        <v>4359.3999999999996</v>
      </c>
      <c r="T12" s="249">
        <f t="shared" si="9"/>
        <v>4359.3999999999996</v>
      </c>
      <c r="U12" s="112">
        <f t="shared" si="10"/>
        <v>4795.34</v>
      </c>
      <c r="V12" s="112">
        <f t="shared" si="11"/>
        <v>4795.34</v>
      </c>
      <c r="W12" s="266">
        <f>'TAS Oct 2021'!BR6</f>
        <v>0</v>
      </c>
      <c r="X12" s="267">
        <f>'TAS Oct 2021'!BO6</f>
        <v>0</v>
      </c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</row>
    <row r="13" spans="1:44" ht="15" thickBot="1" x14ac:dyDescent="0.2">
      <c r="A13" s="136" t="str">
        <f>'TAS Oct 2021'!K7</f>
        <v>Glow Power</v>
      </c>
      <c r="B13" s="143" t="str">
        <f>'TAS Oct 2021'!L7</f>
        <v>Market Offer</v>
      </c>
      <c r="C13" s="116">
        <f>IF('TAS Oct 2021'!BQ7=0,91*'TAS Oct 2021'!M7/100,(91*'TAS Oct 2021'!M7/100)+'TAS Oct 2021'!BQ7/4)</f>
        <v>75.36454545454545</v>
      </c>
      <c r="D13" s="116">
        <f>IF('TAS Oct 2021'!O7="",$C$5*'TAS Oct 2021'!N7/100,IF($C$5&gt;='TAS Oct 2021'!P7,('TAS Oct 2021'!P7*'TAS Oct 2021'!N7/100),($C$5*'TAS Oct 2021'!N7/100)))</f>
        <v>1045.4545454545453</v>
      </c>
      <c r="E13" s="116">
        <f>IF(AND('TAS Oct 2021'!P7&gt;0,'TAS Oct 2021'!R7&gt;0),IF($C$5&lt;'TAS Oct 2021'!P7,0,IF($C$5&lt;=('TAS Oct 2021'!R7+'TAS Oct 2021'!P7),(($C$5-'TAS Oct 2021'!P7)*'TAS Oct 2021'!Q7/100),(('TAS Oct 2021'!R7)*'TAS Oct 2021'!Q7/100))),0)</f>
        <v>0</v>
      </c>
      <c r="F13" s="116">
        <f>IF(AND('TAS Oct 2021'!Q7&gt;0,'TAS Oct 2021'!S7&gt;0),IF($C$5&lt;('TAS Oct 2021'!R7+'TAS Oct 2021'!P7),0,IF($C$5&lt;=('TAS Oct 2021'!T7+'TAS Oct 2021'!R7+'TAS Oct 2021'!P7),(($C$5-('TAS Oct 2021'!R7+'TAS Oct 2021'!P7))*'TAS Oct 2021'!S7/100),('TAS Oct 2021'!T7*'TAS Oct 2021'!S7/100))),0)</f>
        <v>0</v>
      </c>
      <c r="G13" s="118">
        <v>0</v>
      </c>
      <c r="H13" s="116">
        <f>IF(AND('TAS Oct 2021'!R7&gt;0,'TAS Oct 2021'!T7&gt;0),IF(($C$5&lt;'TAS Oct 2021'!T7),(0),($C$5-'TAS Oct 2021'!T7)*'TAS Oct 2021'!U7/100),IF(AND('TAS Oct 2021'!R7&gt;0,'TAS Oct 2021'!T7=""),IF(($C$5&lt;'TAS Oct 2021'!R7+'TAS Oct 2021'!P7),(0),(($C$5-('TAS Oct 2021'!R7+'TAS Oct 2021'!P7))*'TAS Oct 2021'!S7/100)),IF(AND('TAS Oct 2021'!P7&gt;0,'TAS Oct 2021'!R7=""&gt;0),IF(($C$5&lt;'TAS Oct 2021'!P7),(0),($C$5-'TAS Oct 2021'!P7)*'TAS Oct 2021'!Q7/100),0)))</f>
        <v>0</v>
      </c>
      <c r="I13" s="120">
        <f t="shared" si="2"/>
        <v>1120.8190909090906</v>
      </c>
      <c r="J13" s="120">
        <f t="shared" si="3"/>
        <v>4181.8181818181811</v>
      </c>
      <c r="K13" s="120">
        <f t="shared" si="4"/>
        <v>4483.2763636363625</v>
      </c>
      <c r="L13" s="121">
        <f t="shared" si="5"/>
        <v>4931.6039999999994</v>
      </c>
      <c r="M13" s="115">
        <f>'TAS Oct 2021'!BC7</f>
        <v>0</v>
      </c>
      <c r="N13" s="115">
        <f>'TAS Oct 2021'!BD7</f>
        <v>0</v>
      </c>
      <c r="O13" s="115">
        <f>'TAS Oct 2021'!BE7</f>
        <v>0</v>
      </c>
      <c r="P13" s="115">
        <f>'TAS Oct 2021'!BF7</f>
        <v>0</v>
      </c>
      <c r="Q13" s="115" t="str">
        <f t="shared" si="6"/>
        <v>No discount</v>
      </c>
      <c r="R13" s="115" t="str">
        <f t="shared" si="7"/>
        <v>Exclusive</v>
      </c>
      <c r="S13" s="201">
        <f t="shared" si="8"/>
        <v>4483.2763636363625</v>
      </c>
      <c r="T13" s="202">
        <f t="shared" si="9"/>
        <v>4483.2763636363625</v>
      </c>
      <c r="U13" s="121">
        <f t="shared" si="10"/>
        <v>4931.6039999999994</v>
      </c>
      <c r="V13" s="121">
        <f t="shared" si="11"/>
        <v>4931.6039999999994</v>
      </c>
      <c r="W13" s="268">
        <f>'TAS Oct 2021'!BR7</f>
        <v>0</v>
      </c>
      <c r="X13" s="269">
        <f>'TAS Oct 2021'!BO7</f>
        <v>0</v>
      </c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</row>
    <row r="14" spans="1:44" ht="14" x14ac:dyDescent="0.15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</row>
    <row r="15" spans="1:44" ht="15" thickBot="1" x14ac:dyDescent="0.2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</row>
    <row r="16" spans="1:44" ht="14" x14ac:dyDescent="0.15">
      <c r="A16" s="51" t="s">
        <v>96</v>
      </c>
      <c r="B16" s="52"/>
      <c r="C16" s="52"/>
      <c r="D16" s="67"/>
      <c r="E16" s="67"/>
      <c r="F16" s="67"/>
      <c r="G16" s="67"/>
      <c r="H16" s="67"/>
      <c r="I16" s="68"/>
      <c r="J16" s="6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</row>
    <row r="17" spans="1:44" ht="14" x14ac:dyDescent="0.15">
      <c r="A17" s="54" t="s">
        <v>79</v>
      </c>
      <c r="B17" s="39"/>
      <c r="C17" s="72">
        <v>5000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</row>
    <row r="18" spans="1:44" ht="14" x14ac:dyDescent="0.15">
      <c r="A18" s="54" t="s">
        <v>97</v>
      </c>
      <c r="B18" s="39"/>
      <c r="C18" s="73">
        <v>0.7</v>
      </c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</row>
    <row r="19" spans="1:44" ht="14" x14ac:dyDescent="0.15">
      <c r="A19" s="54" t="s">
        <v>148</v>
      </c>
      <c r="B19" s="39"/>
      <c r="C19" s="73">
        <v>0.3</v>
      </c>
      <c r="D19" s="69"/>
      <c r="E19" s="69"/>
      <c r="F19" s="69"/>
      <c r="G19" s="69"/>
      <c r="H19" s="69"/>
      <c r="I19" s="70"/>
      <c r="J19" s="7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55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</row>
    <row r="20" spans="1:44" ht="14" x14ac:dyDescent="0.15">
      <c r="A20" s="54"/>
      <c r="B20" s="39"/>
      <c r="C20" s="69"/>
      <c r="D20" s="69"/>
      <c r="E20" s="69"/>
      <c r="F20" s="69"/>
      <c r="G20" s="69"/>
      <c r="H20" s="69"/>
      <c r="I20" s="70"/>
      <c r="J20" s="7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</row>
    <row r="21" spans="1:44" ht="75" x14ac:dyDescent="0.15">
      <c r="A21" s="230" t="s">
        <v>73</v>
      </c>
      <c r="B21" s="130" t="s">
        <v>80</v>
      </c>
      <c r="C21" s="124" t="s">
        <v>81</v>
      </c>
      <c r="D21" s="124" t="s">
        <v>82</v>
      </c>
      <c r="E21" s="124" t="s">
        <v>83</v>
      </c>
      <c r="F21" s="124" t="s">
        <v>84</v>
      </c>
      <c r="G21" s="124" t="s">
        <v>86</v>
      </c>
      <c r="H21" s="124" t="s">
        <v>96</v>
      </c>
      <c r="I21" s="124" t="s">
        <v>87</v>
      </c>
      <c r="J21" s="231" t="s">
        <v>243</v>
      </c>
      <c r="K21" s="232" t="s">
        <v>61</v>
      </c>
      <c r="L21" s="125" t="s">
        <v>246</v>
      </c>
      <c r="M21" s="126" t="s">
        <v>62</v>
      </c>
      <c r="N21" s="126" t="s">
        <v>63</v>
      </c>
      <c r="O21" s="126" t="s">
        <v>64</v>
      </c>
      <c r="P21" s="126" t="s">
        <v>65</v>
      </c>
      <c r="Q21" s="233" t="s">
        <v>244</v>
      </c>
      <c r="R21" s="233" t="s">
        <v>245</v>
      </c>
      <c r="S21" s="234" t="s">
        <v>66</v>
      </c>
      <c r="T21" s="234" t="s">
        <v>67</v>
      </c>
      <c r="U21" s="127" t="s">
        <v>25</v>
      </c>
      <c r="V21" s="127" t="s">
        <v>26</v>
      </c>
      <c r="W21" s="126" t="s">
        <v>68</v>
      </c>
      <c r="X21" s="128" t="s">
        <v>95</v>
      </c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</row>
    <row r="22" spans="1:44" ht="14" x14ac:dyDescent="0.15">
      <c r="A22" s="163" t="str">
        <f>'TAS Oct 2021'!K8</f>
        <v>Aurora Energy</v>
      </c>
      <c r="B22" s="164" t="str">
        <f>'TAS Oct 2021'!L8</f>
        <v>Regulated</v>
      </c>
      <c r="C22" s="165">
        <f>IF('TAS Oct 2021'!BQ8=0,91*'TAS Oct 2021'!M8/100,(91*'TAS Oct 2021'!M8/100)+'TAS Oct 2021'!BQ8/4)</f>
        <v>92.844818181818169</v>
      </c>
      <c r="D22" s="165">
        <f>IF('TAS Oct 2021'!O8="",$C$17*$C$18*'TAS Oct 2021'!N8/100,IF($C$17*$C$18&gt;='TAS Oct 2021'!P8,('TAS Oct 2021'!P8*'TAS Oct 2021'!N8/100),($C$17*$C$18*'TAS Oct 2021'!N8/100)))</f>
        <v>137.81818181818181</v>
      </c>
      <c r="E22" s="165">
        <f>IF(AND('TAS Oct 2021'!P8&gt;0,'TAS Oct 2021'!R8&gt;0),IF($C$17*$C$18&lt;'TAS Oct 2021'!P8,0,IF($C$17*$C$18&lt;=('TAS Oct 2021'!R8+'TAS Oct 2021'!P8),(($C$17*$C$18-'TAS Oct 2021'!P8)*'TAS Oct 2021'!Q8/100),(('TAS Oct 2021'!R8)*'TAS Oct 2021'!Q8/100))),0)</f>
        <v>0</v>
      </c>
      <c r="F22" s="165">
        <f>IF(AND('TAS Oct 2021'!Q2&gt;0,'TAS Oct 2021'!S2&gt;0),IF($C$17*$C$18&lt;('TAS Oct 2021'!R2+'TAS Oct 2021'!P2),0,IF($C$17*$C$18&lt;=('TAS Oct 2021'!T2+'TAS Oct 2021'!R2+'TAS Oct 2021'!P2),(($C$17*$C$18-('TAS Oct 2021'!R2+'TAS Oct 2021'!P2))*'TAS Oct 2021'!S2/100),('TAS Oct 2021'!T2*'TAS Oct 2021'!S2/100))),0)</f>
        <v>0</v>
      </c>
      <c r="G22" s="165">
        <f>IF(AND('TAS Oct 2021'!R8&gt;0,'TAS Oct 2021'!T8&gt;0),IF(($C$17*$C$18&lt;'TAS Oct 2021'!T8),(0),($C$17*$C$18-'TAS Oct 2021'!T8)*'TAS Oct 2021'!U8/100),IF(AND('TAS Oct 2021'!R8&gt;0,'TAS Oct 2021'!T8=""),IF(($C$17*$C$18&lt;'TAS Oct 2021'!R8+'TAS Oct 2021'!P8),(0),(($C$17*$C$18-('TAS Oct 2021'!R8+'TAS Oct 2021'!P8))*'TAS Oct 2021'!S8/100)),IF(AND('TAS Oct 2021'!P8&gt;0,'TAS Oct 2021'!R8=""&gt;0),IF(($C$17*$C$18&lt;'TAS Oct 2021'!P8),(0),($C$17*$C$18-'TAS Oct 2021'!P8)*'TAS Oct 2021'!Q8/100),0)))</f>
        <v>611.72727272727275</v>
      </c>
      <c r="H22" s="167">
        <f>($C$17*$C$19)*'TAS Oct 2021'!AF8/100</f>
        <v>176.04545454545456</v>
      </c>
      <c r="I22" s="168">
        <f>SUM(C22:H22)</f>
        <v>1018.4357272727273</v>
      </c>
      <c r="J22" s="168">
        <f>(I22-C22)*4</f>
        <v>3702.3636363636365</v>
      </c>
      <c r="K22" s="168">
        <f>I22*4</f>
        <v>4073.7429090909091</v>
      </c>
      <c r="L22" s="169">
        <f>K22*1.1</f>
        <v>4481.1172000000006</v>
      </c>
      <c r="M22" s="170">
        <f>'TAS Oct 2021'!BC8</f>
        <v>0</v>
      </c>
      <c r="N22" s="170">
        <f>'TAS Oct 2021'!BD8</f>
        <v>0</v>
      </c>
      <c r="O22" s="170">
        <f>'TAS Oct 2021'!BE8</f>
        <v>0</v>
      </c>
      <c r="P22" s="170">
        <f>'TAS Oct 2021'!BF8</f>
        <v>0</v>
      </c>
      <c r="Q22" s="170" t="str">
        <f>IF(SUM(M22:P22)=0,"No discount",IF(M22&gt;0,"Guaranteed off bill",IF(N22&gt;0,"Guaranteed off usage",IF(O22&gt;0,"Pay-on-time off bill","Pay-on-time off usage"))))</f>
        <v>No discount</v>
      </c>
      <c r="R22" s="170" t="str">
        <f t="shared" ref="R22:R24" si="12">IF(OR(A22="Origin Energy",A22="Red Energy",A22="Powershop"),"Inclusive","Exclusive")</f>
        <v>Exclusive</v>
      </c>
      <c r="S22" s="20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4073.7429090909091</v>
      </c>
      <c r="T22" s="20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4073.7429090909091</v>
      </c>
      <c r="U22" s="169">
        <f t="shared" ref="U22:U24" si="13">IF(R22="Exclusive",S22*1.1,S22)</f>
        <v>4481.1172000000006</v>
      </c>
      <c r="V22" s="169">
        <f t="shared" ref="V22:V24" si="14">IF(R22="Exclusive",T22*1.1,T22)</f>
        <v>4481.1172000000006</v>
      </c>
      <c r="W22" s="134">
        <f>'TAS Oct 2021'!BR8</f>
        <v>0</v>
      </c>
      <c r="X22" s="267">
        <f>'TAS Oct 2021'!BO8</f>
        <v>0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</row>
    <row r="23" spans="1:44" ht="14" x14ac:dyDescent="0.15">
      <c r="A23" s="133" t="str">
        <f>'TAS Oct 2021'!K9</f>
        <v>1st Energy</v>
      </c>
      <c r="B23" s="142" t="str">
        <f>'TAS Oct 2021'!L9</f>
        <v>1st Saver</v>
      </c>
      <c r="C23" s="107">
        <f>IF('TAS Oct 2021'!BQ9=0,91*'TAS Oct 2021'!M9/100,(91*'TAS Oct 2021'!M9/100)+'TAS Oct 2021'!BQ9/4)</f>
        <v>92.340181818181804</v>
      </c>
      <c r="D23" s="107">
        <f>IF('TAS Oct 2021'!O9="",$C$17*$C$18*'TAS Oct 2021'!N9/100,IF($C$17*$C$18&gt;='TAS Oct 2021'!P9,('TAS Oct 2021'!P9*'TAS Oct 2021'!N9/100),($C$17*$C$18*'TAS Oct 2021'!N9/100)))</f>
        <v>137.81818181818181</v>
      </c>
      <c r="E23" s="107">
        <f>IF(AND('TAS Oct 2021'!P9&gt;0,'TAS Oct 2021'!R9&gt;0),IF($C$17*$C$18&lt;'TAS Oct 2021'!P9,0,IF($C$17*$C$18&lt;=('TAS Oct 2021'!R9+'TAS Oct 2021'!P9),(($C$17*$C$18-'TAS Oct 2021'!P9)*'TAS Oct 2021'!Q9/100),(('TAS Oct 2021'!R9)*'TAS Oct 2021'!Q9/100))),0)</f>
        <v>0</v>
      </c>
      <c r="F23" s="107">
        <f>IF(AND('TAS Oct 2021'!Q3&gt;0,'TAS Oct 2021'!S3&gt;0),IF($C$17*$C$18&lt;('TAS Oct 2021'!R3+'TAS Oct 2021'!P3),0,IF($C$17*$C$18&lt;=('TAS Oct 2021'!T3+'TAS Oct 2021'!R3+'TAS Oct 2021'!P3),(($C$17*$C$18-('TAS Oct 2021'!R3+'TAS Oct 2021'!P3))*'TAS Oct 2021'!S3/100),('TAS Oct 2021'!T3*'TAS Oct 2021'!S3/100))),0)</f>
        <v>0</v>
      </c>
      <c r="G23" s="107">
        <f>IF(AND('TAS Oct 2021'!R9&gt;0,'TAS Oct 2021'!T9&gt;0),IF(($C$17*$C$18&lt;'TAS Oct 2021'!T9),(0),($C$17*$C$18-'TAS Oct 2021'!T9)*'TAS Oct 2021'!U9/100),IF(AND('TAS Oct 2021'!R9&gt;0,'TAS Oct 2021'!T9=""),IF(($C$17*$C$18&lt;'TAS Oct 2021'!R9+'TAS Oct 2021'!P9),(0),(($C$17*$C$18-('TAS Oct 2021'!R9+'TAS Oct 2021'!P9))*'TAS Oct 2021'!S9/100)),IF(AND('TAS Oct 2021'!P9&gt;0,'TAS Oct 2021'!R9=""&gt;0),IF(($C$17*$C$18&lt;'TAS Oct 2021'!P9),(0),($C$17*$C$18-'TAS Oct 2021'!P9)*'TAS Oct 2021'!Q9/100),0)))</f>
        <v>611.4545454545455</v>
      </c>
      <c r="H23" s="110">
        <f>($C$17*$C$19)*'TAS Oct 2021'!AF9/100</f>
        <v>175.90909090909088</v>
      </c>
      <c r="I23" s="111">
        <f>SUM(C23:H23)</f>
        <v>1017.522</v>
      </c>
      <c r="J23" s="111">
        <f>(I23-C23)*4</f>
        <v>3700.727272727273</v>
      </c>
      <c r="K23" s="111">
        <f>I23*4</f>
        <v>4070.0880000000002</v>
      </c>
      <c r="L23" s="112">
        <f>K23*1.1</f>
        <v>4477.0968000000003</v>
      </c>
      <c r="M23" s="106">
        <f>'TAS Oct 2021'!BC9</f>
        <v>0</v>
      </c>
      <c r="N23" s="106">
        <f>'TAS Oct 2021'!BD9</f>
        <v>0</v>
      </c>
      <c r="O23" s="106">
        <f>'TAS Oct 2021'!BE9</f>
        <v>0</v>
      </c>
      <c r="P23" s="106">
        <f>'TAS Oct 2021'!BF9</f>
        <v>5</v>
      </c>
      <c r="Q23" s="106" t="str">
        <f>IF(SUM(M23:P23)=0,"No discount",IF(M23&gt;0,"Guaranteed off bill",IF(N23&gt;0,"Guaranteed off usage",IF(O23&gt;0,"Pay-on-time off bill","Pay-on-time off usage"))))</f>
        <v>Pay-on-time off usage</v>
      </c>
      <c r="R23" s="106" t="str">
        <f t="shared" si="12"/>
        <v>Exclusive</v>
      </c>
      <c r="S23" s="248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4070.0880000000002</v>
      </c>
      <c r="T23" s="249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3885.0516363636366</v>
      </c>
      <c r="U23" s="112">
        <f t="shared" si="13"/>
        <v>4477.0968000000003</v>
      </c>
      <c r="V23" s="112">
        <f t="shared" si="14"/>
        <v>4273.5568000000003</v>
      </c>
      <c r="W23" s="134">
        <f>'TAS Oct 2021'!BR9</f>
        <v>0</v>
      </c>
      <c r="X23" s="267">
        <f>'TAS Oct 2021'!BO9</f>
        <v>12</v>
      </c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</row>
    <row r="24" spans="1:44" ht="15" thickBot="1" x14ac:dyDescent="0.2">
      <c r="A24" s="136" t="str">
        <f>'TAS Oct 2021'!K10</f>
        <v>Future X Power</v>
      </c>
      <c r="B24" s="143" t="str">
        <f>'TAS Oct 2021'!L10</f>
        <v>Flexi Saver</v>
      </c>
      <c r="C24" s="116">
        <f>IF('TAS Oct 2021'!BQ10=0,91*'TAS Oct 2021'!M10/100,(91*'TAS Oct 2021'!M10/100)+'TAS Oct 2021'!BQ10/4)</f>
        <v>84.629999999999981</v>
      </c>
      <c r="D24" s="116">
        <f>IF('TAS Oct 2021'!O10="",$C$17*$C$18*'TAS Oct 2021'!N10/100,IF($C$17*$C$18&gt;='TAS Oct 2021'!P10,('TAS Oct 2021'!P10*'TAS Oct 2021'!N10/100),($C$17*$C$18*'TAS Oct 2021'!N10/100)))</f>
        <v>142.72727272727269</v>
      </c>
      <c r="E24" s="116">
        <f>IF(AND('TAS Oct 2021'!P10&gt;0,'TAS Oct 2021'!R10&gt;0),IF($C$17*$C$18&lt;'TAS Oct 2021'!P10,0,IF($C$17*$C$18&lt;=('TAS Oct 2021'!R10+'TAS Oct 2021'!P10),(($C$17*$C$18-'TAS Oct 2021'!P10)*'TAS Oct 2021'!Q10/100),(('TAS Oct 2021'!R10)*'TAS Oct 2021'!Q10/100))),0)</f>
        <v>0</v>
      </c>
      <c r="F24" s="116">
        <f>IF(AND('TAS Oct 2021'!Q4&gt;0,'TAS Oct 2021'!S4&gt;0),IF($C$17*$C$18&lt;('TAS Oct 2021'!R4+'TAS Oct 2021'!P4),0,IF($C$17*$C$18&lt;=('TAS Oct 2021'!T4+'TAS Oct 2021'!R4+'TAS Oct 2021'!P4),(($C$17*$C$18-('TAS Oct 2021'!R4+'TAS Oct 2021'!P4))*'TAS Oct 2021'!S4/100),('TAS Oct 2021'!T4*'TAS Oct 2021'!S4/100))),0)</f>
        <v>0</v>
      </c>
      <c r="G24" s="116">
        <f>IF(AND('TAS Oct 2021'!R10&gt;0,'TAS Oct 2021'!T10&gt;0),IF(($C$17*$C$18&lt;'TAS Oct 2021'!T10),(0),($C$17*$C$18-'TAS Oct 2021'!T10)*'TAS Oct 2021'!U10/100),IF(AND('TAS Oct 2021'!R10&gt;0,'TAS Oct 2021'!T10=""),IF(($C$17*$C$18&lt;'TAS Oct 2021'!R10+'TAS Oct 2021'!P10),(0),(($C$17*$C$18-('TAS Oct 2021'!R10+'TAS Oct 2021'!P10))*'TAS Oct 2021'!S10/100)),IF(AND('TAS Oct 2021'!P10&gt;0,'TAS Oct 2021'!R10=""&gt;0),IF(($C$17*$C$18&lt;'TAS Oct 2021'!P10),(0),($C$17*$C$18-'TAS Oct 2021'!P10)*'TAS Oct 2021'!Q10/100),0)))</f>
        <v>632.72727272727275</v>
      </c>
      <c r="H24" s="119">
        <f>($C$17*$C$19)*'TAS Oct 2021'!AF10/100</f>
        <v>203.18181818181816</v>
      </c>
      <c r="I24" s="120">
        <f>SUM(C24:H24)</f>
        <v>1063.2663636363636</v>
      </c>
      <c r="J24" s="120">
        <f>(I24-C24)*4</f>
        <v>3914.5454545454545</v>
      </c>
      <c r="K24" s="120">
        <f>I24*4</f>
        <v>4253.0654545454545</v>
      </c>
      <c r="L24" s="121">
        <f>K24*1.1</f>
        <v>4678.3720000000003</v>
      </c>
      <c r="M24" s="115">
        <f>'TAS Oct 2021'!BC10</f>
        <v>0</v>
      </c>
      <c r="N24" s="115">
        <f>'TAS Oct 2021'!BD10</f>
        <v>0</v>
      </c>
      <c r="O24" s="115">
        <f>'TAS Oct 2021'!BE10</f>
        <v>3</v>
      </c>
      <c r="P24" s="115">
        <f>'TAS Oct 2021'!BF10</f>
        <v>0</v>
      </c>
      <c r="Q24" s="115" t="str">
        <f>IF(SUM(M24:P24)=0,"No discount",IF(M24&gt;0,"Guaranteed off bill",IF(N24&gt;0,"Guaranteed off usage",IF(O24&gt;0,"Pay-on-time off bill","Pay-on-time off usage"))))</f>
        <v>Pay-on-time off bill</v>
      </c>
      <c r="R24" s="115" t="str">
        <f t="shared" si="12"/>
        <v>Exclusive</v>
      </c>
      <c r="S24" s="201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4253.0654545454545</v>
      </c>
      <c r="T24" s="202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4125.4734909090912</v>
      </c>
      <c r="U24" s="121">
        <f t="shared" si="13"/>
        <v>4678.3720000000003</v>
      </c>
      <c r="V24" s="121">
        <f t="shared" si="14"/>
        <v>4538.020840000001</v>
      </c>
      <c r="W24" s="137">
        <f>'TAS Oct 2021'!BR10</f>
        <v>0</v>
      </c>
      <c r="X24" s="269">
        <f>'TAS Oct 2021'!BO10</f>
        <v>0</v>
      </c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</row>
    <row r="25" spans="1:44" ht="14" x14ac:dyDescent="0.15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</row>
    <row r="26" spans="1:44" ht="15" thickBot="1" x14ac:dyDescent="0.2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2"/>
      <c r="T26" s="260"/>
      <c r="U26" s="262"/>
      <c r="V26" s="262"/>
      <c r="W26" s="262"/>
      <c r="X26" s="260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</row>
    <row r="27" spans="1:44" ht="14" x14ac:dyDescent="0.15">
      <c r="A27" s="51" t="s">
        <v>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</row>
    <row r="28" spans="1:44" ht="14" x14ac:dyDescent="0.15">
      <c r="A28" s="54" t="s">
        <v>22</v>
      </c>
      <c r="B28" s="39"/>
      <c r="C28" s="72">
        <v>5000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</row>
    <row r="29" spans="1:44" ht="14" x14ac:dyDescent="0.15">
      <c r="A29" s="54" t="s">
        <v>23</v>
      </c>
      <c r="B29" s="39"/>
      <c r="C29" s="73">
        <v>0.3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</row>
    <row r="30" spans="1:44" ht="14" x14ac:dyDescent="0.15">
      <c r="A30" s="54" t="s">
        <v>24</v>
      </c>
      <c r="B30" s="39"/>
      <c r="C30" s="73">
        <v>0.4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</row>
    <row r="31" spans="1:44" ht="14" x14ac:dyDescent="0.15">
      <c r="A31" s="54" t="s">
        <v>21</v>
      </c>
      <c r="B31" s="39"/>
      <c r="C31" s="73">
        <v>0.3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</row>
    <row r="32" spans="1:44" ht="14" x14ac:dyDescent="0.15">
      <c r="A32" s="54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55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</row>
    <row r="33" spans="1:44" ht="75" x14ac:dyDescent="0.15">
      <c r="A33" s="230" t="s">
        <v>35</v>
      </c>
      <c r="B33" s="130" t="s">
        <v>36</v>
      </c>
      <c r="C33" s="124" t="s">
        <v>27</v>
      </c>
      <c r="D33" s="124" t="s">
        <v>153</v>
      </c>
      <c r="E33" s="124" t="s">
        <v>83</v>
      </c>
      <c r="F33" s="124" t="s">
        <v>154</v>
      </c>
      <c r="G33" s="124" t="s">
        <v>155</v>
      </c>
      <c r="H33" s="124" t="s">
        <v>156</v>
      </c>
      <c r="I33" s="124" t="s">
        <v>87</v>
      </c>
      <c r="J33" s="231" t="s">
        <v>243</v>
      </c>
      <c r="K33" s="232" t="s">
        <v>157</v>
      </c>
      <c r="L33" s="125" t="s">
        <v>246</v>
      </c>
      <c r="M33" s="126" t="s">
        <v>94</v>
      </c>
      <c r="N33" s="126" t="s">
        <v>123</v>
      </c>
      <c r="O33" s="126" t="s">
        <v>124</v>
      </c>
      <c r="P33" s="126" t="s">
        <v>125</v>
      </c>
      <c r="Q33" s="233" t="s">
        <v>244</v>
      </c>
      <c r="R33" s="233" t="s">
        <v>245</v>
      </c>
      <c r="S33" s="234" t="s">
        <v>66</v>
      </c>
      <c r="T33" s="234" t="s">
        <v>67</v>
      </c>
      <c r="U33" s="127" t="s">
        <v>25</v>
      </c>
      <c r="V33" s="127" t="s">
        <v>26</v>
      </c>
      <c r="W33" s="126" t="s">
        <v>55</v>
      </c>
      <c r="X33" s="128" t="s">
        <v>160</v>
      </c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</row>
    <row r="34" spans="1:44" ht="14" x14ac:dyDescent="0.15">
      <c r="A34" s="163" t="str">
        <f>'TAS Oct 2021'!K11</f>
        <v>Aurora Energy</v>
      </c>
      <c r="B34" s="164" t="str">
        <f>'TAS Oct 2021'!L11</f>
        <v>Regulated</v>
      </c>
      <c r="C34" s="165">
        <f>IF('TAS Oct 2021'!BQ11=0,91*'TAS Oct 2021'!M11/100,(91*'TAS Oct 2021'!M11/100)+'TAS Oct 2021'!BQ11/4)</f>
        <v>81.767636363636356</v>
      </c>
      <c r="D34" s="165">
        <f>IF('TAS Oct 2021'!O11="",$C$28*$C$29*'TAS Oct 2021'!N11/100,IF($C$28*$C$29&gt;='TAS Oct 2021'!P11,('TAS Oct 2021'!P11*'TAS Oct 2021'!N11/100),($C$28*$C$29*'TAS Oct 2021'!N11/100)))</f>
        <v>340.22727272727275</v>
      </c>
      <c r="E34" s="165">
        <f>IF(AND('TAS Oct 2021'!P11&gt;0,'TAS Oct 2021'!R11&gt;0),IF($C$28*$C$29&lt;'TAS Oct 2021'!P11,0,IF($C$28*$C$29&lt;=('TAS Oct 2021'!R11+'TAS Oct 2021'!P11),(($C$28*$C$29-'TAS Oct 2021'!P11)*'TAS Oct 2021'!Q11/100),(('TAS Oct 2021'!R11)*'TAS Oct 2021'!Q11/100))),0)</f>
        <v>0</v>
      </c>
      <c r="F34" s="165">
        <f>IF(AND('TAS Oct 2021'!R11&gt;0,'TAS Oct 2021'!T11&gt;0),IF(($C$28*$C$29&lt;'TAS Oct 2021'!T11),(0),($C$28*$C$249-'TAS Oct 2021'!T11)*'TAS Oct 2021'!U11/100),IF(AND('TAS Oct 2021'!R11&gt;0,'TAS Oct 2021'!T11=""),IF(($C$28*$C$29&lt;'TAS Oct 2021'!R11+'TAS Oct 2021'!P11),(0),(($C$28*$C$29-('TAS Oct 2021'!R11+'TAS Oct 2021'!P11))*'TAS Oct 2021'!S11/100)),IF(AND('TAS Oct 2021'!P11&gt;0,'TAS Oct 2021'!R11=""&gt;0),IF(($C$28*$C$29&lt;'TAS Oct 2021'!P11),(0),($C$28*$C$29-'TAS Oct 2021'!P11)*'TAS Oct 2021'!Q11/100),0)))</f>
        <v>0</v>
      </c>
      <c r="G34" s="166">
        <f>($C$28*$C$30)*'TAS Oct 2021'!AI11/100</f>
        <v>327.81818181818181</v>
      </c>
      <c r="H34" s="167">
        <f>($C$28*$C$31)*'TAS Oct 2021'!W11/100</f>
        <v>143.86363636363635</v>
      </c>
      <c r="I34" s="168">
        <f>SUM(C34:H34)</f>
        <v>893.67672727272736</v>
      </c>
      <c r="J34" s="168">
        <f>(I34-C34)*4</f>
        <v>3247.636363636364</v>
      </c>
      <c r="K34" s="168">
        <f>I34*4</f>
        <v>3574.7069090909094</v>
      </c>
      <c r="L34" s="169">
        <f>K34*1.1</f>
        <v>3932.1776000000009</v>
      </c>
      <c r="M34" s="170">
        <f>'TAS Oct 2021'!BC11</f>
        <v>0</v>
      </c>
      <c r="N34" s="170">
        <f>'TAS Oct 2021'!BD11</f>
        <v>0</v>
      </c>
      <c r="O34" s="170">
        <f>'TAS Oct 2021'!BE11</f>
        <v>0</v>
      </c>
      <c r="P34" s="170">
        <f>'TAS Oct 2021'!BF11</f>
        <v>0</v>
      </c>
      <c r="Q34" s="170" t="str">
        <f>IF(SUM(M34:P34)=0,"No discount",IF(M34&gt;0,"Guaranteed off bill",IF(N34&gt;0,"Guaranteed off usage",IF(O34&gt;0,"Pay-on-time off bill","Pay-on-time off usage"))))</f>
        <v>No discount</v>
      </c>
      <c r="R34" s="170" t="str">
        <f t="shared" ref="R34:R35" si="15">IF(OR(A34="Origin Energy",A34="Red Energy",A34="Powershop"),"Inclusive","Exclusive")</f>
        <v>Exclusive</v>
      </c>
      <c r="S34" s="203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3574.7069090909094</v>
      </c>
      <c r="T34" s="204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3574.7069090909094</v>
      </c>
      <c r="U34" s="169">
        <f t="shared" ref="U34:U35" si="16">IF(R34="Exclusive",S34*1.1,S34)</f>
        <v>3932.1776000000009</v>
      </c>
      <c r="V34" s="169">
        <f t="shared" ref="V34:V35" si="17">IF(R34="Exclusive",T34*1.1,T34)</f>
        <v>3932.1776000000009</v>
      </c>
      <c r="W34" s="171">
        <f>'TAS Oct 2021'!BR11</f>
        <v>0</v>
      </c>
      <c r="X34" s="267">
        <f>'TAS Oct 2021'!BO11</f>
        <v>0</v>
      </c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</row>
    <row r="35" spans="1:44" ht="14" x14ac:dyDescent="0.15">
      <c r="A35" s="133" t="str">
        <f>'TAS Oct 2021'!K12</f>
        <v>1st Energy</v>
      </c>
      <c r="B35" s="142" t="str">
        <f>'TAS Oct 2021'!L12</f>
        <v>1st Saver</v>
      </c>
      <c r="C35" s="107">
        <f>IF('TAS Oct 2021'!BQ12=0,91*'TAS Oct 2021'!M12/100,(91*'TAS Oct 2021'!M12/100)+'TAS Oct 2021'!BQ12/4)</f>
        <v>81.767636363636356</v>
      </c>
      <c r="D35" s="107">
        <f>IF('TAS Oct 2021'!O12="",$C$28*$C$29*'TAS Oct 2021'!N12/100,IF($C$28*$C$29&gt;='TAS Oct 2021'!P12,('TAS Oct 2021'!P12*'TAS Oct 2021'!N12/100),($C$28*$C$29*'TAS Oct 2021'!N12/100)))</f>
        <v>340.09090909090907</v>
      </c>
      <c r="E35" s="107">
        <f>IF(AND('TAS Oct 2021'!P12&gt;0,'TAS Oct 2021'!R12&gt;0),IF($C$28*$C$29&lt;'TAS Oct 2021'!P12,0,IF($C$28*$C$29&lt;=('TAS Oct 2021'!R12+'TAS Oct 2021'!P12),(($C$28*$C$29-'TAS Oct 2021'!P12)*'TAS Oct 2021'!Q12/100),(('TAS Oct 2021'!R12)*'TAS Oct 2021'!Q12/100))),0)</f>
        <v>0</v>
      </c>
      <c r="F35" s="107">
        <f>IF(AND('TAS Oct 2021'!R12&gt;0,'TAS Oct 2021'!T12&gt;0),IF(($C$28*$C$29&lt;'TAS Oct 2021'!T12),(0),($C$28*$C$249-'TAS Oct 2021'!T12)*'TAS Oct 2021'!U12/100),IF(AND('TAS Oct 2021'!R12&gt;0,'TAS Oct 2021'!T12=""),IF(($C$28*$C$29&lt;'TAS Oct 2021'!R12+'TAS Oct 2021'!P12),(0),(($C$28*$C$29-('TAS Oct 2021'!R12+'TAS Oct 2021'!P12))*'TAS Oct 2021'!S12/100)),IF(AND('TAS Oct 2021'!P12&gt;0,'TAS Oct 2021'!R12=""&gt;0),IF(($C$28*$C$29&lt;'TAS Oct 2021'!P12),(0),($C$28*$C$29-'TAS Oct 2021'!P12)*'TAS Oct 2021'!Q12/100),0)))</f>
        <v>0</v>
      </c>
      <c r="G35" s="109">
        <f>($C$28*$C$30)*'TAS Oct 2021'!AI12/100</f>
        <v>327.81818181818181</v>
      </c>
      <c r="H35" s="110">
        <f>($C$28*$C$31)*'TAS Oct 2021'!W12/100</f>
        <v>143.72727272727269</v>
      </c>
      <c r="I35" s="111">
        <f>SUM(C35:H35)</f>
        <v>893.404</v>
      </c>
      <c r="J35" s="111">
        <f>(I35-C35)*4</f>
        <v>3246.5454545454545</v>
      </c>
      <c r="K35" s="111">
        <f>I35*4</f>
        <v>3573.616</v>
      </c>
      <c r="L35" s="112">
        <f>K35*1.1</f>
        <v>3930.9776000000002</v>
      </c>
      <c r="M35" s="106">
        <f>'TAS Oct 2021'!BC12</f>
        <v>0</v>
      </c>
      <c r="N35" s="106">
        <f>'TAS Oct 2021'!BD12</f>
        <v>0</v>
      </c>
      <c r="O35" s="106">
        <f>'TAS Oct 2021'!BE12</f>
        <v>0</v>
      </c>
      <c r="P35" s="106">
        <f>'TAS Oct 2021'!BF12</f>
        <v>5</v>
      </c>
      <c r="Q35" s="106" t="str">
        <f>IF(SUM(M35:P35)=0,"No discount",IF(M35&gt;0,"Guaranteed off bill",IF(N35&gt;0,"Guaranteed off usage",IF(O35&gt;0,"Pay-on-time off bill","Pay-on-time off usage"))))</f>
        <v>Pay-on-time off usage</v>
      </c>
      <c r="R35" s="106" t="str">
        <f t="shared" si="15"/>
        <v>Exclusive</v>
      </c>
      <c r="S35" s="248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3573.616</v>
      </c>
      <c r="T35" s="249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3411.2887272727271</v>
      </c>
      <c r="U35" s="112">
        <f t="shared" si="16"/>
        <v>3930.9776000000002</v>
      </c>
      <c r="V35" s="112">
        <f t="shared" si="17"/>
        <v>3752.4176000000002</v>
      </c>
      <c r="W35" s="134">
        <f>'TAS Oct 2021'!BR12</f>
        <v>0</v>
      </c>
      <c r="X35" s="267">
        <f>'TAS Oct 2021'!BO12</f>
        <v>12</v>
      </c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</row>
    <row r="36" spans="1:44" ht="14" x14ac:dyDescent="0.15">
      <c r="A36" s="133" t="str">
        <f>'TAS Oct 2021'!K13</f>
        <v>Covau</v>
      </c>
      <c r="B36" s="142" t="str">
        <f>'TAS Oct 2021'!L13</f>
        <v>Freedom</v>
      </c>
      <c r="C36" s="107">
        <f>IF('TAS Oct 2021'!BQ13=0,91*'TAS Oct 2021'!M13/100,(91*'TAS Oct 2021'!M13/100)+'TAS Oct 2021'!BQ13/4)</f>
        <v>81.767636363636356</v>
      </c>
      <c r="D36" s="107">
        <f>IF('TAS Oct 2021'!O13="",$C$28*$C$29*'TAS Oct 2021'!N13/100,IF($C$28*$C$29&gt;='TAS Oct 2021'!P13,('TAS Oct 2021'!P13*'TAS Oct 2021'!N13/100),($C$28*$C$29*'TAS Oct 2021'!N13/100)))</f>
        <v>340.22727272727275</v>
      </c>
      <c r="E36" s="107">
        <f>IF(AND('TAS Oct 2021'!P13&gt;0,'TAS Oct 2021'!R13&gt;0),IF($C$28*$C$29&lt;'TAS Oct 2021'!P13,0,IF($C$28*$C$29&lt;=('TAS Oct 2021'!R13+'TAS Oct 2021'!P13),(($C$28*$C$29-'TAS Oct 2021'!P13)*'TAS Oct 2021'!Q13/100),(('TAS Oct 2021'!R13)*'TAS Oct 2021'!Q13/100))),0)</f>
        <v>0</v>
      </c>
      <c r="F36" s="107">
        <f>IF(AND('TAS Oct 2021'!R13&gt;0,'TAS Oct 2021'!T13&gt;0),IF(($C$28*$C$29&lt;'TAS Oct 2021'!T13),(0),($C$28*$C$249-'TAS Oct 2021'!T13)*'TAS Oct 2021'!U13/100),IF(AND('TAS Oct 2021'!R13&gt;0,'TAS Oct 2021'!T13=""),IF(($C$28*$C$29&lt;'TAS Oct 2021'!R13+'TAS Oct 2021'!P13),(0),(($C$28*$C$29-('TAS Oct 2021'!R13+'TAS Oct 2021'!P13))*'TAS Oct 2021'!S13/100)),IF(AND('TAS Oct 2021'!P13&gt;0,'TAS Oct 2021'!R13=""&gt;0),IF(($C$28*$C$29&lt;'TAS Oct 2021'!P13),(0),($C$28*$C$29-'TAS Oct 2021'!P13)*'TAS Oct 2021'!Q13/100),0)))</f>
        <v>0</v>
      </c>
      <c r="G36" s="109">
        <f>($C$28*$C$30)*'TAS Oct 2021'!AI13/100</f>
        <v>327.81818181818181</v>
      </c>
      <c r="H36" s="110">
        <f>($C$28*$C$31)*'TAS Oct 2021'!W13/100</f>
        <v>143.86363636363635</v>
      </c>
      <c r="I36" s="111">
        <f t="shared" ref="I36:I38" si="18">SUM(C36:H36)</f>
        <v>893.67672727272736</v>
      </c>
      <c r="J36" s="111">
        <f t="shared" ref="J36:J38" si="19">(I36-C36)*4</f>
        <v>3247.636363636364</v>
      </c>
      <c r="K36" s="111">
        <f t="shared" ref="K36:K38" si="20">I36*4</f>
        <v>3574.7069090909094</v>
      </c>
      <c r="L36" s="112">
        <f t="shared" ref="L36:L38" si="21">K36*1.1</f>
        <v>3932.1776000000009</v>
      </c>
      <c r="M36" s="106">
        <f>'TAS Oct 2021'!BC13</f>
        <v>0</v>
      </c>
      <c r="N36" s="106">
        <f>'TAS Oct 2021'!BD13</f>
        <v>0</v>
      </c>
      <c r="O36" s="106">
        <f>'TAS Oct 2021'!BE13</f>
        <v>5</v>
      </c>
      <c r="P36" s="106">
        <f>'TAS Oct 2021'!BF13</f>
        <v>0</v>
      </c>
      <c r="Q36" s="106" t="str">
        <f t="shared" ref="Q36:Q38" si="22">IF(SUM(M36:P36)=0,"No discount",IF(M36&gt;0,"Guaranteed off bill",IF(N36&gt;0,"Guaranteed off usage",IF(O36&gt;0,"Pay-on-time off bill","Pay-on-time off usage"))))</f>
        <v>Pay-on-time off bill</v>
      </c>
      <c r="R36" s="106" t="str">
        <f t="shared" ref="R36:R38" si="23">IF(OR(A36="Origin Energy",A36="Red Energy",A36="Powershop"),"Inclusive","Exclusive")</f>
        <v>Exclusive</v>
      </c>
      <c r="S36" s="248">
        <f t="shared" ref="S36:S38" si="24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3574.7069090909094</v>
      </c>
      <c r="T36" s="249">
        <f t="shared" ref="T36:T38" si="25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3395.971563636364</v>
      </c>
      <c r="U36" s="112">
        <f t="shared" ref="U36:U38" si="26">IF(R36="Exclusive",S36*1.1,S36)</f>
        <v>3932.1776000000009</v>
      </c>
      <c r="V36" s="112">
        <f t="shared" ref="V36:V38" si="27">IF(R36="Exclusive",T36*1.1,T36)</f>
        <v>3735.5687200000007</v>
      </c>
      <c r="W36" s="134">
        <f>'TAS Oct 2021'!BR13</f>
        <v>0</v>
      </c>
      <c r="X36" s="267">
        <f>'TAS Oct 2021'!BO13</f>
        <v>0</v>
      </c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</row>
    <row r="37" spans="1:44" ht="14" x14ac:dyDescent="0.15">
      <c r="A37" s="133" t="str">
        <f>'TAS Oct 2021'!K14</f>
        <v>Energy Locals</v>
      </c>
      <c r="B37" s="142" t="str">
        <f>'TAS Oct 2021'!L14</f>
        <v>Business Member</v>
      </c>
      <c r="C37" s="107">
        <f>IF('TAS Oct 2021'!BQ14=0,91*'TAS Oct 2021'!M14/100,(91*'TAS Oct 2021'!M14/100)+'TAS Oct 2021'!BQ14/4)</f>
        <v>117.83181818181816</v>
      </c>
      <c r="D37" s="107">
        <f>IF('TAS Oct 2021'!O14="",$C$28*$C$29*'TAS Oct 2021'!N14/100,IF($C$28*$C$29&gt;='TAS Oct 2021'!P14,('TAS Oct 2021'!P14*'TAS Oct 2021'!N14/100),($C$28*$C$29*'TAS Oct 2021'!N14/100)))</f>
        <v>313.63636363636363</v>
      </c>
      <c r="E37" s="107">
        <f>IF(AND('TAS Oct 2021'!P14&gt;0,'TAS Oct 2021'!R14&gt;0),IF($C$28*$C$29&lt;'TAS Oct 2021'!P14,0,IF($C$28*$C$29&lt;=('TAS Oct 2021'!R14+'TAS Oct 2021'!P14),(($C$28*$C$29-'TAS Oct 2021'!P14)*'TAS Oct 2021'!Q14/100),(('TAS Oct 2021'!R14)*'TAS Oct 2021'!Q14/100))),0)</f>
        <v>0</v>
      </c>
      <c r="F37" s="107">
        <f>IF(AND('TAS Oct 2021'!R14&gt;0,'TAS Oct 2021'!T14&gt;0),IF(($C$28*$C$29&lt;'TAS Oct 2021'!T14),(0),($C$28*$C$249-'TAS Oct 2021'!T14)*'TAS Oct 2021'!U14/100),IF(AND('TAS Oct 2021'!R14&gt;0,'TAS Oct 2021'!T14=""),IF(($C$28*$C$29&lt;'TAS Oct 2021'!R14+'TAS Oct 2021'!P14),(0),(($C$28*$C$29-('TAS Oct 2021'!R14+'TAS Oct 2021'!P14))*'TAS Oct 2021'!S14/100)),IF(AND('TAS Oct 2021'!P14&gt;0,'TAS Oct 2021'!R14=""&gt;0),IF(($C$28*$C$29&lt;'TAS Oct 2021'!P14),(0),($C$28*$C$29-'TAS Oct 2021'!P14)*'TAS Oct 2021'!Q14/100),0)))</f>
        <v>0</v>
      </c>
      <c r="G37" s="109">
        <f>($C$28*$C$30)*'TAS Oct 2021'!AI14/100</f>
        <v>309.09090909090907</v>
      </c>
      <c r="H37" s="110">
        <f>($C$28*$C$31)*'TAS Oct 2021'!W14/100</f>
        <v>136.36363636363635</v>
      </c>
      <c r="I37" s="111">
        <f t="shared" si="18"/>
        <v>876.92272727272723</v>
      </c>
      <c r="J37" s="111">
        <f t="shared" si="19"/>
        <v>3036.363636363636</v>
      </c>
      <c r="K37" s="111">
        <f t="shared" si="20"/>
        <v>3507.6909090909089</v>
      </c>
      <c r="L37" s="112">
        <f t="shared" si="21"/>
        <v>3858.46</v>
      </c>
      <c r="M37" s="106">
        <f>'TAS Oct 2021'!BC14</f>
        <v>0</v>
      </c>
      <c r="N37" s="106">
        <f>'TAS Oct 2021'!BD14</f>
        <v>0</v>
      </c>
      <c r="O37" s="106">
        <f>'TAS Oct 2021'!BE14</f>
        <v>0</v>
      </c>
      <c r="P37" s="106">
        <f>'TAS Oct 2021'!BF14</f>
        <v>0</v>
      </c>
      <c r="Q37" s="106" t="str">
        <f t="shared" si="22"/>
        <v>No discount</v>
      </c>
      <c r="R37" s="106" t="str">
        <f t="shared" si="23"/>
        <v>Exclusive</v>
      </c>
      <c r="S37" s="248">
        <f t="shared" si="24"/>
        <v>3507.6909090909089</v>
      </c>
      <c r="T37" s="249">
        <f t="shared" si="25"/>
        <v>3507.6909090909089</v>
      </c>
      <c r="U37" s="112">
        <f t="shared" si="26"/>
        <v>3858.46</v>
      </c>
      <c r="V37" s="112">
        <f t="shared" si="27"/>
        <v>3858.46</v>
      </c>
      <c r="W37" s="134">
        <f>'TAS Oct 2021'!BR14</f>
        <v>0</v>
      </c>
      <c r="X37" s="267">
        <f>'TAS Oct 2021'!BO14</f>
        <v>0</v>
      </c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  <row r="38" spans="1:44" ht="15" thickBot="1" x14ac:dyDescent="0.2">
      <c r="A38" s="136" t="str">
        <f>'TAS Oct 2021'!K15</f>
        <v>Glow Power</v>
      </c>
      <c r="B38" s="143" t="str">
        <f>'TAS Oct 2021'!L15</f>
        <v>Market Offer</v>
      </c>
      <c r="C38" s="116">
        <f>IF('TAS Oct 2021'!BQ15=0,91*'TAS Oct 2021'!M15/100,(91*'TAS Oct 2021'!M15/100)+'TAS Oct 2021'!BQ15/4)</f>
        <v>81.775909090909067</v>
      </c>
      <c r="D38" s="116">
        <f>IF('TAS Oct 2021'!O15="",$C$28*$C$29*'TAS Oct 2021'!N15/100,IF($C$28*$C$29&gt;='TAS Oct 2021'!P15,('TAS Oct 2021'!P15*'TAS Oct 2021'!N15/100),($C$28*$C$29*'TAS Oct 2021'!N15/100)))</f>
        <v>323.0454545454545</v>
      </c>
      <c r="E38" s="116">
        <f>IF(AND('TAS Oct 2021'!P15&gt;0,'TAS Oct 2021'!R15&gt;0),IF($C$28*$C$29&lt;'TAS Oct 2021'!P15,0,IF($C$28*$C$29&lt;=('TAS Oct 2021'!R15+'TAS Oct 2021'!P15),(($C$28*$C$29-'TAS Oct 2021'!P15)*'TAS Oct 2021'!Q15/100),(('TAS Oct 2021'!R15)*'TAS Oct 2021'!Q15/100))),0)</f>
        <v>0</v>
      </c>
      <c r="F38" s="116">
        <f>IF(AND('TAS Oct 2021'!R15&gt;0,'TAS Oct 2021'!T15&gt;0),IF(($C$28*$C$29&lt;'TAS Oct 2021'!T15),(0),($C$28*$C$249-'TAS Oct 2021'!T15)*'TAS Oct 2021'!U15/100),IF(AND('TAS Oct 2021'!R15&gt;0,'TAS Oct 2021'!T15=""),IF(($C$28*$C$29&lt;'TAS Oct 2021'!R15+'TAS Oct 2021'!P15),(0),(($C$28*$C$29-('TAS Oct 2021'!R15+'TAS Oct 2021'!P15))*'TAS Oct 2021'!S15/100)),IF(AND('TAS Oct 2021'!P15&gt;0,'TAS Oct 2021'!R15=""&gt;0),IF(($C$28*$C$29&lt;'TAS Oct 2021'!P15),(0),($C$28*$C$29-'TAS Oct 2021'!P15)*'TAS Oct 2021'!Q15/100),0)))</f>
        <v>0</v>
      </c>
      <c r="G38" s="118">
        <f>($C$28*$C$30)*'TAS Oct 2021'!AI15/100</f>
        <v>381.81818181818176</v>
      </c>
      <c r="H38" s="119">
        <f>($C$28*$C$31)*'TAS Oct 2021'!W15/100</f>
        <v>150.13636363636363</v>
      </c>
      <c r="I38" s="120">
        <f t="shared" si="18"/>
        <v>936.77590909090895</v>
      </c>
      <c r="J38" s="120">
        <f t="shared" si="19"/>
        <v>3419.9999999999995</v>
      </c>
      <c r="K38" s="120">
        <f t="shared" si="20"/>
        <v>3747.1036363636358</v>
      </c>
      <c r="L38" s="121">
        <f t="shared" si="21"/>
        <v>4121.8139999999994</v>
      </c>
      <c r="M38" s="115">
        <f>'TAS Oct 2021'!BC15</f>
        <v>0</v>
      </c>
      <c r="N38" s="115">
        <f>'TAS Oct 2021'!BD15</f>
        <v>0</v>
      </c>
      <c r="O38" s="115">
        <f>'TAS Oct 2021'!BE15</f>
        <v>0</v>
      </c>
      <c r="P38" s="115">
        <f>'TAS Oct 2021'!BF15</f>
        <v>0</v>
      </c>
      <c r="Q38" s="115" t="str">
        <f t="shared" si="22"/>
        <v>No discount</v>
      </c>
      <c r="R38" s="115" t="str">
        <f t="shared" si="23"/>
        <v>Exclusive</v>
      </c>
      <c r="S38" s="201">
        <f t="shared" si="24"/>
        <v>3747.1036363636358</v>
      </c>
      <c r="T38" s="202">
        <f t="shared" si="25"/>
        <v>3747.1036363636358</v>
      </c>
      <c r="U38" s="121">
        <f t="shared" si="26"/>
        <v>4121.8139999999994</v>
      </c>
      <c r="V38" s="121">
        <f t="shared" si="27"/>
        <v>4121.8139999999994</v>
      </c>
      <c r="W38" s="137">
        <f>'TAS Oct 2021'!BR15</f>
        <v>0</v>
      </c>
      <c r="X38" s="269">
        <f>'TAS Oct 2021'!BO15</f>
        <v>0</v>
      </c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ht="14" x14ac:dyDescent="0.15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</row>
    <row r="40" spans="1:44" ht="14" x14ac:dyDescent="0.15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</row>
    <row r="41" spans="1:44" ht="14" x14ac:dyDescent="0.1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</row>
    <row r="42" spans="1:44" ht="14" x14ac:dyDescent="0.15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</row>
    <row r="43" spans="1:44" ht="14" x14ac:dyDescent="0.15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</row>
    <row r="44" spans="1:44" ht="14" x14ac:dyDescent="0.15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</row>
    <row r="45" spans="1:44" ht="14" x14ac:dyDescent="0.1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</row>
    <row r="46" spans="1:44" ht="14" x14ac:dyDescent="0.15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</row>
    <row r="47" spans="1:44" ht="14" x14ac:dyDescent="0.15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</row>
    <row r="48" spans="1:44" ht="14" x14ac:dyDescent="0.15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</row>
    <row r="49" spans="1:44" ht="14" x14ac:dyDescent="0.15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</row>
    <row r="50" spans="1:44" ht="14" x14ac:dyDescent="0.15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</row>
    <row r="51" spans="1:44" ht="14" x14ac:dyDescent="0.1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</row>
    <row r="52" spans="1:44" ht="14" x14ac:dyDescent="0.1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</row>
    <row r="53" spans="1:44" ht="14" x14ac:dyDescent="0.1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</row>
    <row r="54" spans="1:44" ht="14" x14ac:dyDescent="0.15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</row>
    <row r="55" spans="1:44" ht="14" x14ac:dyDescent="0.1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</row>
    <row r="56" spans="1:44" ht="14" x14ac:dyDescent="0.1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</row>
    <row r="57" spans="1:44" ht="14" x14ac:dyDescent="0.15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</row>
    <row r="58" spans="1:44" ht="14" x14ac:dyDescent="0.15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</row>
    <row r="59" spans="1:44" ht="14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</row>
    <row r="60" spans="1:44" ht="14" x14ac:dyDescent="0.15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</row>
    <row r="61" spans="1:44" ht="14" x14ac:dyDescent="0.15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</row>
    <row r="62" spans="1:44" ht="14" x14ac:dyDescent="0.15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</row>
    <row r="63" spans="1:44" ht="14" x14ac:dyDescent="0.15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</row>
  </sheetData>
  <sheetProtection algorithmName="SHA-512" hashValue="PmA8QA4jBR6+qtwWqddY+4stHFnQeZ9waqweZGsRr+ozsyauX47b8QmFTKjHtsLUtomnoyPQ3TQN96uMFhuZgg==" saltValue="exE+g4A32a9RZHwNeMj9uQ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D69E-E6FE-9841-AE96-9B52E6924B7F}">
  <sheetPr codeName="Sheet20">
    <tabColor rgb="FFCD7B93"/>
  </sheetPr>
  <dimension ref="A1:AR60"/>
  <sheetViews>
    <sheetView zoomScaleNormal="100" zoomScalePageLayoutView="120" workbookViewId="0">
      <selection activeCell="D8" sqref="D8"/>
    </sheetView>
  </sheetViews>
  <sheetFormatPr baseColWidth="10" defaultRowHeight="13" x14ac:dyDescent="0.15"/>
  <cols>
    <col min="1" max="1" width="20.33203125" customWidth="1"/>
    <col min="2" max="2" width="14" bestFit="1" customWidth="1"/>
    <col min="3" max="24" width="12.1640625" customWidth="1"/>
    <col min="25" max="53" width="7.5" customWidth="1"/>
  </cols>
  <sheetData>
    <row r="1" spans="1:44" ht="14" x14ac:dyDescent="0.15">
      <c r="A1" s="251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</row>
    <row r="2" spans="1:44" ht="14" x14ac:dyDescent="0.15">
      <c r="A2" s="252" t="s">
        <v>48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</row>
    <row r="3" spans="1:44" ht="15" thickBot="1" x14ac:dyDescent="0.2">
      <c r="A3" s="251"/>
      <c r="B3" s="251"/>
      <c r="C3" s="251"/>
      <c r="D3" s="251"/>
      <c r="E3" s="251"/>
      <c r="F3" s="251"/>
      <c r="G3" s="253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</row>
    <row r="8" spans="1:44" ht="14" x14ac:dyDescent="0.15">
      <c r="A8" s="163" t="str">
        <f>'TAS Apr 2021'!K2</f>
        <v>Aurora Energy</v>
      </c>
      <c r="B8" s="164" t="str">
        <f>'TAS Apr 2021'!L2</f>
        <v>Regulated</v>
      </c>
      <c r="C8" s="165">
        <f>IF('TAS Apr 2021'!BQ2=0,91*'TAS Apr 2021'!M2/100,(91*'TAS Apr 2021'!M2/100)+'TAS Apr 2021'!BQ2/4)</f>
        <v>84.820272727272709</v>
      </c>
      <c r="D8" s="165">
        <f>IF('TAS Apr 2021'!O2="",$C$5*'TAS Apr 2021'!N2/100,IF($C$5&gt;='TAS Apr 2021'!P2,('TAS Apr 2021'!P2*'TAS Apr 2021'!N2/100),($C$5*'TAS Apr 2021'!N2/100)))</f>
        <v>154.81818181818181</v>
      </c>
      <c r="E8" s="165">
        <f>IF(AND('TAS Apr 2021'!P2&gt;0,'TAS Apr 2021'!R2&gt;0),IF($C$5&lt;'TAS Apr 2021'!P2,0,IF($C$5&lt;=('TAS Apr 2021'!R2+'TAS Apr 2021'!P2),(($C$5-'TAS Apr 2021'!P2)*'TAS Apr 2021'!Q2/100),(('TAS Apr 2021'!R2)*'TAS Apr 2021'!Q2/100))),0)</f>
        <v>0</v>
      </c>
      <c r="F8" s="165">
        <f>IF(AND('TAS Apr 2021'!Q2&gt;0,'TAS Apr 2021'!S2&gt;0),IF($C$5&lt;('TAS Apr 2021'!R2+'TAS Apr 2021'!P2),0,IF($C$5&lt;=('TAS Apr 2021'!T2+'TAS Apr 2021'!R2+'TAS Apr 2021'!P2),(($C$5-('TAS Apr 2021'!R2+'TAS Apr 2021'!P2))*'TAS Apr 2021'!S2/100),('TAS Apr 2021'!T2*'TAS Apr 2021'!S2/100))),0)</f>
        <v>0</v>
      </c>
      <c r="G8" s="166">
        <v>0</v>
      </c>
      <c r="H8" s="165">
        <f>IF(AND('TAS Apr 2021'!R2&gt;0,'TAS Apr 2021'!T2&gt;0),IF(($C$5&lt;'TAS Apr 2021'!T2),(0),($C$5-'TAS Apr 2021'!T2)*'TAS Apr 2021'!U2/100),IF(AND('TAS Apr 2021'!R2&gt;0,'TAS Apr 2021'!T2=""),IF(($C$5&lt;'TAS Apr 2021'!R2+'TAS Apr 2021'!P2),(0),(($C$5-('TAS Apr 2021'!R2+'TAS Apr 2021'!P2))*'TAS Apr 2021'!S2/100)),IF(AND('TAS Apr 2021'!P2&gt;0,'TAS Apr 2021'!R2=""&gt;0),IF(($C$5&lt;'TAS Apr 2021'!P2),(0),($C$5-'TAS Apr 2021'!P2)*'TAS Apr 2021'!Q2/100),0)))</f>
        <v>1030.9090909090908</v>
      </c>
      <c r="I8" s="168">
        <f>SUM(C8:H8)</f>
        <v>1270.5475454545453</v>
      </c>
      <c r="J8" s="168">
        <f>(I8-C8)*4</f>
        <v>4742.9090909090901</v>
      </c>
      <c r="K8" s="168">
        <f>I8*4</f>
        <v>5082.1901818181814</v>
      </c>
      <c r="L8" s="169">
        <f>K8*1.1</f>
        <v>5590.4092000000001</v>
      </c>
      <c r="M8" s="170">
        <f>'TAS Apr 2021'!BC2</f>
        <v>0</v>
      </c>
      <c r="N8" s="170">
        <f>'TAS Apr 2021'!BD2</f>
        <v>0</v>
      </c>
      <c r="O8" s="170">
        <f>'TAS Apr 2021'!BE2</f>
        <v>0</v>
      </c>
      <c r="P8" s="170">
        <f>'TAS Apr 2021'!BF2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0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69">
        <f t="shared" ref="U8:V10" si="1">S8*1.1</f>
        <v>5590.4092000000001</v>
      </c>
      <c r="V8" s="169">
        <f t="shared" si="1"/>
        <v>5590.4092000000001</v>
      </c>
      <c r="W8" s="171" t="str">
        <f>'TAS Apr 2021'!BM2</f>
        <v>n</v>
      </c>
      <c r="X8" s="172">
        <f>'TAS Apr 2021'!BN2</f>
        <v>0</v>
      </c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</row>
    <row r="9" spans="1:44" ht="14" x14ac:dyDescent="0.15">
      <c r="A9" s="133" t="str">
        <f>'TAS Apr 2021'!K3</f>
        <v>1st Energy</v>
      </c>
      <c r="B9" s="142" t="str">
        <f>'TAS Apr 2021'!L3</f>
        <v>1st Saver</v>
      </c>
      <c r="C9" s="107">
        <f>IF('TAS Apr 2021'!BQ3=0,91*'TAS Apr 2021'!M3/100,(91*'TAS Apr 2021'!M3/100)+'TAS Apr 2021'!BQ3/4)</f>
        <v>84.811999999999983</v>
      </c>
      <c r="D9" s="107">
        <f>IF('TAS Apr 2021'!O3="",$C$5*'TAS Apr 2021'!N3/100,IF($C$5&gt;='TAS Apr 2021'!P3,('TAS Apr 2021'!P3*'TAS Apr 2021'!N3/100),($C$5*'TAS Apr 2021'!N3/100)))</f>
        <v>154.81818181818181</v>
      </c>
      <c r="E9" s="107">
        <f>IF(AND('TAS Apr 2021'!P3&gt;0,'TAS Apr 2021'!R3&gt;0),IF($C$5&lt;'TAS Apr 2021'!P3,0,IF($C$5&lt;=('TAS Apr 2021'!R3+'TAS Apr 2021'!P3),(($C$5-'TAS Apr 2021'!P3)*'TAS Apr 2021'!Q3/100),(('TAS Apr 2021'!R3)*'TAS Apr 2021'!Q3/100))),0)</f>
        <v>0</v>
      </c>
      <c r="F9" s="107">
        <f>IF(AND('TAS Apr 2021'!Q3&gt;0,'TAS Apr 2021'!S3&gt;0),IF($C$5&lt;('TAS Apr 2021'!R3+'TAS Apr 2021'!P3),0,IF($C$5&lt;=('TAS Apr 2021'!T3+'TAS Apr 2021'!R3+'TAS Apr 2021'!P3),(($C$5-('TAS Apr 2021'!R3+'TAS Apr 2021'!P3))*'TAS Apr 2021'!S3/100),('TAS Apr 2021'!T3*'TAS Apr 2021'!S3/100))),0)</f>
        <v>0</v>
      </c>
      <c r="G9" s="109">
        <v>0</v>
      </c>
      <c r="H9" s="107">
        <f>IF(AND('TAS Apr 2021'!R3&gt;0,'TAS Apr 2021'!T3&gt;0),IF(($C$5&lt;'TAS Apr 2021'!T3),(0),($C$5-'TAS Apr 2021'!T3)*'TAS Apr 2021'!U3/100),IF(AND('TAS Apr 2021'!R3&gt;0,'TAS Apr 2021'!T3=""),IF(($C$5&lt;'TAS Apr 2021'!R3+'TAS Apr 2021'!P3),(0),(($C$5-('TAS Apr 2021'!R3+'TAS Apr 2021'!P3))*'TAS Apr 2021'!S3/100)),IF(AND('TAS Apr 2021'!P3&gt;0,'TAS Apr 2021'!R3=""&gt;0),IF(($C$5&lt;'TAS Apr 2021'!P3),(0),($C$5-'TAS Apr 2021'!P3)*'TAS Apr 2021'!Q3/100),0)))</f>
        <v>1030.5</v>
      </c>
      <c r="I9" s="111">
        <f>SUM(C9:H9)</f>
        <v>1270.1301818181819</v>
      </c>
      <c r="J9" s="111">
        <f>(I9-C9)*4</f>
        <v>4741.2727272727279</v>
      </c>
      <c r="K9" s="111">
        <f>I9*4</f>
        <v>5080.5207272727275</v>
      </c>
      <c r="L9" s="112">
        <f>K9*1.1</f>
        <v>5588.5728000000008</v>
      </c>
      <c r="M9" s="106">
        <f>'TAS Apr 2021'!BC3</f>
        <v>0</v>
      </c>
      <c r="N9" s="106">
        <f>'TAS Apr 2021'!BD3</f>
        <v>0</v>
      </c>
      <c r="O9" s="106">
        <f>'TAS Apr 2021'!BE3</f>
        <v>5</v>
      </c>
      <c r="P9" s="106">
        <f>'TAS Apr 2021'!BF3</f>
        <v>0</v>
      </c>
      <c r="Q9" s="106" t="str">
        <f>IF(SUM(M9:P9)=0,"No discount",IF(M9&gt;0,"Guaranteed off bill",IF(N9&gt;0,"Guaranteed off usage",IF(O9&gt;0,"Pay-on-time off bill","Pay-on-time off usage"))))</f>
        <v>Pay-on-time off bill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12">
        <f t="shared" si="1"/>
        <v>5588.5728000000008</v>
      </c>
      <c r="V9" s="112">
        <f t="shared" si="1"/>
        <v>5309.1441600000007</v>
      </c>
      <c r="W9" s="134">
        <f>'TAS Apr 2021'!BM3</f>
        <v>0</v>
      </c>
      <c r="X9" s="135">
        <f>'TAS Apr 2021'!BN3</f>
        <v>12</v>
      </c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</row>
    <row r="10" spans="1:44" ht="15" thickBot="1" x14ac:dyDescent="0.2">
      <c r="A10" s="136" t="str">
        <f>'TAS Apr 2021'!K4</f>
        <v>Future X Power</v>
      </c>
      <c r="B10" s="143" t="str">
        <f>'TAS Apr 2021'!L4</f>
        <v>Business Smart</v>
      </c>
      <c r="C10" s="116">
        <f>IF('TAS Apr 2021'!BQ4=0,91*'TAS Apr 2021'!M4/100,(91*'TAS Apr 2021'!M4/100)+'TAS Apr 2021'!BQ4/4)</f>
        <v>85.995000000000005</v>
      </c>
      <c r="D10" s="116">
        <f>IF('TAS Apr 2021'!O4="",$C$5*'TAS Apr 2021'!N4/100,IF($C$5&gt;='TAS Apr 2021'!P4,('TAS Apr 2021'!P4*'TAS Apr 2021'!N4/100),($C$5*'TAS Apr 2021'!N4/100)))</f>
        <v>156.99999999999997</v>
      </c>
      <c r="E10" s="116">
        <f>IF(AND('TAS Apr 2021'!P4&gt;0,'TAS Apr 2021'!R4&gt;0),IF($C$5&lt;'TAS Apr 2021'!P4,0,IF($C$5&lt;=('TAS Apr 2021'!R4+'TAS Apr 2021'!P4),(($C$5-'TAS Apr 2021'!P4)*'TAS Apr 2021'!Q4/100),(('TAS Apr 2021'!R4)*'TAS Apr 2021'!Q4/100))),0)</f>
        <v>0</v>
      </c>
      <c r="F10" s="116">
        <f>IF(AND('TAS Apr 2021'!Q4&gt;0,'TAS Apr 2021'!S4&gt;0),IF($C$5&lt;('TAS Apr 2021'!R4+'TAS Apr 2021'!P4),0,IF($C$5&lt;=('TAS Apr 2021'!T4+'TAS Apr 2021'!R4+'TAS Apr 2021'!P4),(($C$5-('TAS Apr 2021'!R4+'TAS Apr 2021'!P4))*'TAS Apr 2021'!S4/100),('TAS Apr 2021'!T4*'TAS Apr 2021'!S4/100))),0)</f>
        <v>0</v>
      </c>
      <c r="G10" s="118">
        <v>1</v>
      </c>
      <c r="H10" s="116">
        <f>IF(AND('TAS Apr 2021'!R4&gt;0,'TAS Apr 2021'!T4&gt;0),IF(($C$5&lt;'TAS Apr 2021'!T4),(0),($C$5-'TAS Apr 2021'!T4)*'TAS Apr 2021'!U4/100),IF(AND('TAS Apr 2021'!R4&gt;0,'TAS Apr 2021'!T4=""),IF(($C$5&lt;'TAS Apr 2021'!R4+'TAS Apr 2021'!P4),(0),(($C$5-('TAS Apr 2021'!R4+'TAS Apr 2021'!P4))*'TAS Apr 2021'!S4/100)),IF(AND('TAS Apr 2021'!P4&gt;0,'TAS Apr 2021'!R4=""&gt;0),IF(($C$5&lt;'TAS Apr 2021'!P4),(0),($C$5-'TAS Apr 2021'!P4)*'TAS Apr 2021'!Q4/100),0)))</f>
        <v>1044</v>
      </c>
      <c r="I10" s="120">
        <f>SUM(C10:H10)</f>
        <v>1287.9949999999999</v>
      </c>
      <c r="J10" s="120">
        <f>(I10-C10)*4</f>
        <v>4808</v>
      </c>
      <c r="K10" s="120">
        <f>I10*4</f>
        <v>5151.9799999999996</v>
      </c>
      <c r="L10" s="121">
        <f>K10*1.1</f>
        <v>5667.1779999999999</v>
      </c>
      <c r="M10" s="115">
        <f>'TAS Apr 2021'!BC4</f>
        <v>0</v>
      </c>
      <c r="N10" s="115">
        <f>'TAS Apr 2021'!BD4</f>
        <v>3</v>
      </c>
      <c r="O10" s="115">
        <f>'TAS Apr 2021'!BE4</f>
        <v>0</v>
      </c>
      <c r="P10" s="115">
        <f>'TAS Apr 2021'!BF4</f>
        <v>0</v>
      </c>
      <c r="Q10" s="115" t="str">
        <f>IF(SUM(M10:P10)=0,"No discount",IF(M10&gt;0,"Guaranteed off bill",IF(N10&gt;0,"Guaranteed off usage",IF(O10&gt;0,"Pay-on-time off bill","Pay-on-time off usage"))))</f>
        <v>Guaranteed off usage</v>
      </c>
      <c r="R10" s="115" t="str">
        <f t="shared" si="0"/>
        <v>Exclusive</v>
      </c>
      <c r="S10" s="20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0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21">
        <f t="shared" si="1"/>
        <v>5508.5140000000001</v>
      </c>
      <c r="V10" s="121">
        <f t="shared" si="1"/>
        <v>5508.5140000000001</v>
      </c>
      <c r="W10" s="137" t="str">
        <f>'TAS Apr 2021'!BM4</f>
        <v>n</v>
      </c>
      <c r="X10" s="138">
        <f>'TAS Apr 2021'!BN4</f>
        <v>0</v>
      </c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</row>
    <row r="11" spans="1:44" ht="14" x14ac:dyDescent="0.15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</row>
    <row r="12" spans="1:44" ht="15" thickBot="1" x14ac:dyDescent="0.2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</row>
    <row r="13" spans="1:44" ht="14" x14ac:dyDescent="0.15">
      <c r="A13" s="51" t="s">
        <v>96</v>
      </c>
      <c r="B13" s="52"/>
      <c r="C13" s="52"/>
      <c r="D13" s="67"/>
      <c r="E13" s="67"/>
      <c r="F13" s="67"/>
      <c r="G13" s="67"/>
      <c r="H13" s="67"/>
      <c r="I13" s="68"/>
      <c r="J13" s="6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</row>
    <row r="14" spans="1:44" ht="14" x14ac:dyDescent="0.15">
      <c r="A14" s="54" t="s">
        <v>79</v>
      </c>
      <c r="B14" s="39"/>
      <c r="C14" s="72">
        <v>5000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</row>
    <row r="15" spans="1:44" ht="14" x14ac:dyDescent="0.15">
      <c r="A15" s="54" t="s">
        <v>97</v>
      </c>
      <c r="B15" s="39"/>
      <c r="C15" s="73">
        <v>0.7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</row>
    <row r="16" spans="1:44" ht="14" x14ac:dyDescent="0.15">
      <c r="A16" s="54" t="s">
        <v>148</v>
      </c>
      <c r="B16" s="39"/>
      <c r="C16" s="73">
        <v>0.3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</row>
    <row r="17" spans="1:44" ht="14" x14ac:dyDescent="0.15">
      <c r="A17" s="54"/>
      <c r="B17" s="39"/>
      <c r="C17" s="69"/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</row>
    <row r="18" spans="1:44" ht="75" x14ac:dyDescent="0.15">
      <c r="A18" s="230" t="s">
        <v>73</v>
      </c>
      <c r="B18" s="130" t="s">
        <v>80</v>
      </c>
      <c r="C18" s="124" t="s">
        <v>81</v>
      </c>
      <c r="D18" s="124" t="s">
        <v>82</v>
      </c>
      <c r="E18" s="124" t="s">
        <v>83</v>
      </c>
      <c r="F18" s="124" t="s">
        <v>84</v>
      </c>
      <c r="G18" s="124" t="s">
        <v>86</v>
      </c>
      <c r="H18" s="124" t="s">
        <v>96</v>
      </c>
      <c r="I18" s="124" t="s">
        <v>87</v>
      </c>
      <c r="J18" s="231" t="s">
        <v>243</v>
      </c>
      <c r="K18" s="232" t="s">
        <v>61</v>
      </c>
      <c r="L18" s="125" t="s">
        <v>246</v>
      </c>
      <c r="M18" s="126" t="s">
        <v>62</v>
      </c>
      <c r="N18" s="126" t="s">
        <v>63</v>
      </c>
      <c r="O18" s="126" t="s">
        <v>64</v>
      </c>
      <c r="P18" s="126" t="s">
        <v>65</v>
      </c>
      <c r="Q18" s="233" t="s">
        <v>244</v>
      </c>
      <c r="R18" s="233" t="s">
        <v>245</v>
      </c>
      <c r="S18" s="234" t="s">
        <v>66</v>
      </c>
      <c r="T18" s="234" t="s">
        <v>67</v>
      </c>
      <c r="U18" s="127" t="s">
        <v>25</v>
      </c>
      <c r="V18" s="127" t="s">
        <v>26</v>
      </c>
      <c r="W18" s="126" t="s">
        <v>68</v>
      </c>
      <c r="X18" s="128" t="s">
        <v>95</v>
      </c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</row>
    <row r="19" spans="1:44" ht="14" x14ac:dyDescent="0.15">
      <c r="A19" s="163" t="str">
        <f>'TAS Apr 2021'!K5</f>
        <v>Aurora Energy</v>
      </c>
      <c r="B19" s="164" t="str">
        <f>'TAS Apr 2021'!L5</f>
        <v>Regulated</v>
      </c>
      <c r="C19" s="165">
        <f>IF('TAS Apr 2021'!BQ5=0,91*'TAS Apr 2021'!M5/100,(91*'TAS Apr 2021'!M5/100)+'TAS Apr 2021'!BQ5/4)</f>
        <v>103.22709090909089</v>
      </c>
      <c r="D19" s="165">
        <f>IF('TAS Apr 2021'!O5="",$C$14*$C$15*'TAS Apr 2021'!N5/100,IF($C$14*$C$15&gt;='TAS Apr 2021'!P5,('TAS Apr 2021'!P5*'TAS Apr 2021'!N5/100),($C$14*$C$15*'TAS Apr 2021'!N5/100)))</f>
        <v>154.81818181818181</v>
      </c>
      <c r="E19" s="165">
        <f>IF(AND('TAS Apr 2021'!P5&gt;0,'TAS Apr 2021'!R5&gt;0),IF($C$14*$C$15&lt;'TAS Apr 2021'!P5,0,IF($C$14*$C$15&lt;=('TAS Apr 2021'!R5+'TAS Apr 2021'!P5),(($C$14*$C$15-'TAS Apr 2021'!P5)*'TAS Apr 2021'!Q5/100),(('TAS Apr 2021'!R5)*'TAS Apr 2021'!Q5/100))),0)</f>
        <v>0</v>
      </c>
      <c r="F19" s="165">
        <f>IF(AND('TAS Apr 2021'!Q2&gt;0,'TAS Apr 2021'!S2&gt;0),IF($C$14*$C$15&lt;('TAS Apr 2021'!R2+'TAS Apr 2021'!P2),0,IF($C$14*$C$15&lt;=('TAS Apr 2021'!T2+'TAS Apr 2021'!R2+'TAS Apr 2021'!P2),(($C$14*$C$15-('TAS Apr 2021'!R2+'TAS Apr 2021'!P2))*'TAS Apr 2021'!S2/100),('TAS Apr 2021'!T2*'TAS Apr 2021'!S2/100))),0)</f>
        <v>0</v>
      </c>
      <c r="G19" s="165">
        <f>IF(AND('TAS Apr 2021'!R5&gt;0,'TAS Apr 2021'!T5&gt;0),IF(($C$14*$C$15&lt;'TAS Apr 2021'!T5),(0),($C$14*$C$15-'TAS Apr 2021'!T5)*'TAS Apr 2021'!U5/100),IF(AND('TAS Apr 2021'!R5&gt;0,'TAS Apr 2021'!T5=""),IF(($C$14*$C$15&lt;'TAS Apr 2021'!R5+'TAS Apr 2021'!P5),(0),(($C$14*$C$15-('TAS Apr 2021'!R5+'TAS Apr 2021'!P5))*'TAS Apr 2021'!S5/100)),IF(AND('TAS Apr 2021'!P5&gt;0,'TAS Apr 2021'!R5=""&gt;0),IF(($C$14*$C$15&lt;'TAS Apr 2021'!P5),(0),($C$14*$C$15-'TAS Apr 2021'!P5)*'TAS Apr 2021'!Q5/100),0)))</f>
        <v>687.27272727272725</v>
      </c>
      <c r="H19" s="167">
        <f>($C$14*$C$16)*'TAS Apr 2021'!AF5/100</f>
        <v>192.27272727272725</v>
      </c>
      <c r="I19" s="168">
        <f>SUM(C19:H19)</f>
        <v>1137.5907272727272</v>
      </c>
      <c r="J19" s="168">
        <f>(I19-C19)*4</f>
        <v>4137.454545454545</v>
      </c>
      <c r="K19" s="168">
        <f>I19*4</f>
        <v>4550.3629090909089</v>
      </c>
      <c r="L19" s="169">
        <f>K19*1.1</f>
        <v>5005.3991999999998</v>
      </c>
      <c r="M19" s="170">
        <f>'TAS Apr 2021'!BC5</f>
        <v>0</v>
      </c>
      <c r="N19" s="170">
        <f>'TAS Apr 2021'!BD5</f>
        <v>0</v>
      </c>
      <c r="O19" s="170">
        <f>'TAS Apr 2021'!BE5</f>
        <v>0</v>
      </c>
      <c r="P19" s="170">
        <f>'TAS Apr 2021'!BF5</f>
        <v>0</v>
      </c>
      <c r="Q19" s="170" t="str">
        <f>IF(SUM(M19:P19)=0,"No discount",IF(M19&gt;0,"Guaranteed off bill",IF(N19&gt;0,"Guaranteed off usage",IF(O19&gt;0,"Pay-on-time off bill","Pay-on-time off usage"))))</f>
        <v>No discount</v>
      </c>
      <c r="R19" s="170" t="str">
        <f t="shared" ref="R19:R21" si="2">IF(OR(A19="Origin Energy",A19="Red Energy",A19="Powershop"),"Inclusive","Exclusive")</f>
        <v>Exclusive</v>
      </c>
      <c r="S19" s="20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0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69">
        <f t="shared" ref="U19:U21" si="3">IF(R19="Exclusive",S19*1.1,S19)</f>
        <v>5005.3991999999998</v>
      </c>
      <c r="V19" s="169">
        <f t="shared" ref="V19:V21" si="4">IF(R19="Exclusive",T19*1.1,T19)</f>
        <v>5005.3991999999998</v>
      </c>
      <c r="W19" s="171" t="str">
        <f>'TAS Apr 2021'!BM5</f>
        <v>n</v>
      </c>
      <c r="X19" s="172">
        <f>'TAS Apr 2021'!BN5</f>
        <v>0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</row>
    <row r="20" spans="1:44" ht="14" x14ac:dyDescent="0.15">
      <c r="A20" s="133" t="str">
        <f>'TAS Apr 2021'!K6</f>
        <v>1st Energy</v>
      </c>
      <c r="B20" s="142" t="str">
        <f>'TAS Apr 2021'!L6</f>
        <v>1st Saver</v>
      </c>
      <c r="C20" s="107">
        <f>IF('TAS Apr 2021'!BQ6=0,91*'TAS Apr 2021'!M6/100,(91*'TAS Apr 2021'!M6/100)+'TAS Apr 2021'!BQ6/4)</f>
        <v>100.01727272727273</v>
      </c>
      <c r="D20" s="107">
        <f>IF('TAS Apr 2021'!O6="",$C$14*$C$15*'TAS Apr 2021'!N6/100,IF($C$14*$C$15&gt;='TAS Apr 2021'!P6,('TAS Apr 2021'!P6*'TAS Apr 2021'!N6/100),($C$14*$C$15*'TAS Apr 2021'!N6/100)))</f>
        <v>154.81818181818181</v>
      </c>
      <c r="E20" s="107">
        <f>IF(AND('TAS Apr 2021'!P6&gt;0,'TAS Apr 2021'!R6&gt;0),IF($C$14*$C$15&lt;'TAS Apr 2021'!P6,0,IF($C$14*$C$15&lt;=('TAS Apr 2021'!R6+'TAS Apr 2021'!P6),(($C$14*$C$15-'TAS Apr 2021'!P6)*'TAS Apr 2021'!Q6/100),(('TAS Apr 2021'!R6)*'TAS Apr 2021'!Q6/100))),0)</f>
        <v>0</v>
      </c>
      <c r="F20" s="107">
        <f>IF(AND('TAS Apr 2021'!Q3&gt;0,'TAS Apr 2021'!S3&gt;0),IF($C$14*$C$15&lt;('TAS Apr 2021'!R3+'TAS Apr 2021'!P3),0,IF($C$14*$C$15&lt;=('TAS Apr 2021'!T3+'TAS Apr 2021'!R3+'TAS Apr 2021'!P3),(($C$14*$C$15-('TAS Apr 2021'!R3+'TAS Apr 2021'!P3))*'TAS Apr 2021'!S3/100),('TAS Apr 2021'!T3*'TAS Apr 2021'!S3/100))),0)</f>
        <v>0</v>
      </c>
      <c r="G20" s="107">
        <f>IF(AND('TAS Apr 2021'!R6&gt;0,'TAS Apr 2021'!T6&gt;0),IF(($C$14*$C$15&lt;'TAS Apr 2021'!T6),(0),($C$14*$C$15-'TAS Apr 2021'!T6)*'TAS Apr 2021'!U6/100),IF(AND('TAS Apr 2021'!R6&gt;0,'TAS Apr 2021'!T6=""),IF(($C$14*$C$15&lt;'TAS Apr 2021'!R6+'TAS Apr 2021'!P6),(0),(($C$14*$C$15-('TAS Apr 2021'!R6+'TAS Apr 2021'!P6))*'TAS Apr 2021'!S6/100)),IF(AND('TAS Apr 2021'!P6&gt;0,'TAS Apr 2021'!R6=""&gt;0),IF(($C$14*$C$15&lt;'TAS Apr 2021'!P6),(0),($C$14*$C$15-'TAS Apr 2021'!P6)*'TAS Apr 2021'!Q6/100),0)))</f>
        <v>687</v>
      </c>
      <c r="H20" s="110">
        <f>($C$14*$C$16)*'TAS Apr 2021'!AF6/100</f>
        <v>219.95454545454544</v>
      </c>
      <c r="I20" s="111">
        <f>SUM(C20:H20)</f>
        <v>1161.79</v>
      </c>
      <c r="J20" s="111">
        <f>(I20-C20)*4</f>
        <v>4247.090909090909</v>
      </c>
      <c r="K20" s="111">
        <f>I20*4</f>
        <v>4647.16</v>
      </c>
      <c r="L20" s="112">
        <f>K20*1.1</f>
        <v>5111.8760000000002</v>
      </c>
      <c r="M20" s="106">
        <f>'TAS Apr 2021'!BC6</f>
        <v>0</v>
      </c>
      <c r="N20" s="106">
        <f>'TAS Apr 2021'!BD6</f>
        <v>0</v>
      </c>
      <c r="O20" s="106">
        <f>'TAS Apr 2021'!BE6</f>
        <v>5</v>
      </c>
      <c r="P20" s="106">
        <f>'TAS Apr 2021'!BF6</f>
        <v>0</v>
      </c>
      <c r="Q20" s="106" t="str">
        <f>IF(SUM(M20:P20)=0,"No discount",IF(M20&gt;0,"Guaranteed off bill",IF(N20&gt;0,"Guaranteed off usage",IF(O20&gt;0,"Pay-on-time off bill","Pay-on-time off usage"))))</f>
        <v>Pay-on-time off bill</v>
      </c>
      <c r="R20" s="106" t="str">
        <f t="shared" si="2"/>
        <v>Exclusive</v>
      </c>
      <c r="S20" s="248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49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12">
        <f t="shared" si="3"/>
        <v>5111.8760000000002</v>
      </c>
      <c r="V20" s="112">
        <f t="shared" si="4"/>
        <v>4856.2821999999996</v>
      </c>
      <c r="W20" s="134">
        <f>'TAS Apr 2021'!BM6</f>
        <v>0</v>
      </c>
      <c r="X20" s="135">
        <f>'TAS Apr 2021'!BN6</f>
        <v>12</v>
      </c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</row>
    <row r="21" spans="1:44" ht="15" thickBot="1" x14ac:dyDescent="0.2">
      <c r="A21" s="136" t="str">
        <f>'TAS Apr 2021'!K7</f>
        <v>Future X Power</v>
      </c>
      <c r="B21" s="143" t="str">
        <f>'TAS Apr 2021'!L7</f>
        <v>Business Smart</v>
      </c>
      <c r="C21" s="116">
        <f>IF('TAS Apr 2021'!BQ7=0,91*'TAS Apr 2021'!M7/100,(91*'TAS Apr 2021'!M7/100)+'TAS Apr 2021'!BQ7/4)</f>
        <v>93.092999999999989</v>
      </c>
      <c r="D21" s="116">
        <f>IF('TAS Apr 2021'!O7="",$C$14*$C$15*'TAS Apr 2021'!N7/100,IF($C$14*$C$15&gt;='TAS Apr 2021'!P7,('TAS Apr 2021'!P7*'TAS Apr 2021'!N7/100),($C$14*$C$15*'TAS Apr 2021'!N7/100)))</f>
        <v>156.99999999999997</v>
      </c>
      <c r="E21" s="116">
        <f>IF(AND('TAS Apr 2021'!P7&gt;0,'TAS Apr 2021'!R7&gt;0),IF($C$14*$C$15&lt;'TAS Apr 2021'!P7,0,IF($C$14*$C$15&lt;=('TAS Apr 2021'!R7+'TAS Apr 2021'!P7),(($C$14*$C$15-'TAS Apr 2021'!P7)*'TAS Apr 2021'!Q7/100),(('TAS Apr 2021'!R7)*'TAS Apr 2021'!Q7/100))),0)</f>
        <v>0</v>
      </c>
      <c r="F21" s="116">
        <f>IF(AND('TAS Apr 2021'!Q4&gt;0,'TAS Apr 2021'!S4&gt;0),IF($C$14*$C$15&lt;('TAS Apr 2021'!R4+'TAS Apr 2021'!P4),0,IF($C$14*$C$15&lt;=('TAS Apr 2021'!T4+'TAS Apr 2021'!R4+'TAS Apr 2021'!P4),(($C$14*$C$15-('TAS Apr 2021'!R4+'TAS Apr 2021'!P4))*'TAS Apr 2021'!S4/100),('TAS Apr 2021'!T4*'TAS Apr 2021'!S4/100))),0)</f>
        <v>0</v>
      </c>
      <c r="G21" s="116">
        <f>IF(AND('TAS Apr 2021'!R7&gt;0,'TAS Apr 2021'!T7&gt;0),IF(($C$14*$C$15&lt;'TAS Apr 2021'!T7),(0),($C$14*$C$15-'TAS Apr 2021'!T7)*'TAS Apr 2021'!U7/100),IF(AND('TAS Apr 2021'!R7&gt;0,'TAS Apr 2021'!T7=""),IF(($C$14*$C$15&lt;'TAS Apr 2021'!R7+'TAS Apr 2021'!P7),(0),(($C$14*$C$15-('TAS Apr 2021'!R7+'TAS Apr 2021'!P7))*'TAS Apr 2021'!S7/100)),IF(AND('TAS Apr 2021'!P7&gt;0,'TAS Apr 2021'!R7=""&gt;0),IF(($C$14*$C$15&lt;'TAS Apr 2021'!P7),(0),($C$14*$C$15-'TAS Apr 2021'!P7)*'TAS Apr 2021'!Q7/100),0)))</f>
        <v>696</v>
      </c>
      <c r="H21" s="119">
        <f>($C$14*$C$16)*'TAS Apr 2021'!AF7/100</f>
        <v>223.49999999999997</v>
      </c>
      <c r="I21" s="120">
        <f>SUM(C21:H21)</f>
        <v>1169.5929999999998</v>
      </c>
      <c r="J21" s="120">
        <f>(I21-C21)*4</f>
        <v>4305.9999999999991</v>
      </c>
      <c r="K21" s="120">
        <f>I21*4</f>
        <v>4678.3719999999994</v>
      </c>
      <c r="L21" s="121">
        <f>K21*1.1</f>
        <v>5146.2091999999993</v>
      </c>
      <c r="M21" s="115">
        <f>'TAS Apr 2021'!BC7</f>
        <v>0</v>
      </c>
      <c r="N21" s="115">
        <f>'TAS Apr 2021'!BD7</f>
        <v>3</v>
      </c>
      <c r="O21" s="115">
        <f>'TAS Apr 2021'!BE7</f>
        <v>0</v>
      </c>
      <c r="P21" s="115">
        <f>'TAS Apr 2021'!BF7</f>
        <v>0</v>
      </c>
      <c r="Q21" s="115" t="str">
        <f>IF(SUM(M21:P21)=0,"No discount",IF(M21&gt;0,"Guaranteed off bill",IF(N21&gt;0,"Guaranteed off usage",IF(O21&gt;0,"Pay-on-time off bill","Pay-on-time off usage"))))</f>
        <v>Guaranteed off usage</v>
      </c>
      <c r="R21" s="115" t="str">
        <f t="shared" si="2"/>
        <v>Exclusive</v>
      </c>
      <c r="S21" s="20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0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21">
        <f t="shared" si="3"/>
        <v>5004.1111999999994</v>
      </c>
      <c r="V21" s="121">
        <f t="shared" si="4"/>
        <v>5004.1111999999994</v>
      </c>
      <c r="W21" s="137" t="str">
        <f>'TAS Apr 2021'!BM7</f>
        <v>n</v>
      </c>
      <c r="X21" s="138">
        <f>'TAS Apr 2021'!BN7</f>
        <v>0</v>
      </c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</row>
    <row r="22" spans="1:44" ht="14" x14ac:dyDescent="0.15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</row>
    <row r="23" spans="1:44" ht="15" thickBot="1" x14ac:dyDescent="0.2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3"/>
      <c r="T23" s="251"/>
      <c r="U23" s="253"/>
      <c r="V23" s="253"/>
      <c r="W23" s="253"/>
      <c r="X23" s="251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</row>
    <row r="24" spans="1:44" ht="14" x14ac:dyDescent="0.15">
      <c r="A24" s="51" t="s">
        <v>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</row>
    <row r="25" spans="1:44" ht="14" x14ac:dyDescent="0.15">
      <c r="A25" s="54" t="s">
        <v>22</v>
      </c>
      <c r="B25" s="39"/>
      <c r="C25" s="72">
        <v>5000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</row>
    <row r="26" spans="1:44" ht="14" x14ac:dyDescent="0.15">
      <c r="A26" s="54" t="s">
        <v>23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</row>
    <row r="27" spans="1:44" ht="14" x14ac:dyDescent="0.15">
      <c r="A27" s="54" t="s">
        <v>24</v>
      </c>
      <c r="B27" s="39"/>
      <c r="C27" s="73">
        <v>0.4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</row>
    <row r="28" spans="1:44" ht="14" x14ac:dyDescent="0.15">
      <c r="A28" s="54" t="s">
        <v>21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</row>
    <row r="29" spans="1:44" ht="14" x14ac:dyDescent="0.15">
      <c r="A29" s="5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</row>
    <row r="30" spans="1:44" ht="75" x14ac:dyDescent="0.15">
      <c r="A30" s="230" t="s">
        <v>35</v>
      </c>
      <c r="B30" s="130" t="s">
        <v>36</v>
      </c>
      <c r="C30" s="124" t="s">
        <v>27</v>
      </c>
      <c r="D30" s="124" t="s">
        <v>153</v>
      </c>
      <c r="E30" s="124" t="s">
        <v>83</v>
      </c>
      <c r="F30" s="124" t="s">
        <v>154</v>
      </c>
      <c r="G30" s="124" t="s">
        <v>155</v>
      </c>
      <c r="H30" s="124" t="s">
        <v>156</v>
      </c>
      <c r="I30" s="124" t="s">
        <v>87</v>
      </c>
      <c r="J30" s="231" t="s">
        <v>243</v>
      </c>
      <c r="K30" s="232" t="s">
        <v>157</v>
      </c>
      <c r="L30" s="125" t="s">
        <v>246</v>
      </c>
      <c r="M30" s="126" t="s">
        <v>94</v>
      </c>
      <c r="N30" s="126" t="s">
        <v>123</v>
      </c>
      <c r="O30" s="126" t="s">
        <v>124</v>
      </c>
      <c r="P30" s="126" t="s">
        <v>125</v>
      </c>
      <c r="Q30" s="233" t="s">
        <v>244</v>
      </c>
      <c r="R30" s="233" t="s">
        <v>245</v>
      </c>
      <c r="S30" s="234" t="s">
        <v>66</v>
      </c>
      <c r="T30" s="234" t="s">
        <v>67</v>
      </c>
      <c r="U30" s="127" t="s">
        <v>25</v>
      </c>
      <c r="V30" s="127" t="s">
        <v>26</v>
      </c>
      <c r="W30" s="126" t="s">
        <v>55</v>
      </c>
      <c r="X30" s="128" t="s">
        <v>160</v>
      </c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</row>
    <row r="31" spans="1:44" ht="14" x14ac:dyDescent="0.15">
      <c r="A31" s="163" t="str">
        <f>'TAS Apr 2021'!K8</f>
        <v>Aurora Energy</v>
      </c>
      <c r="B31" s="164" t="str">
        <f>'TAS Apr 2021'!L8</f>
        <v>Regulated</v>
      </c>
      <c r="C31" s="165">
        <f>IF('TAS Apr 2021'!BQ8=0,91*'TAS Apr 2021'!M8/100,(91*'TAS Apr 2021'!M8/100)+'TAS Apr 2021'!BQ8/4)</f>
        <v>91.876909090909081</v>
      </c>
      <c r="D31" s="165">
        <f>IF('TAS Apr 2021'!O8="",$C$25*$C$26*'TAS Apr 2021'!N8/100,IF($C$25*$C$26&gt;='TAS Apr 2021'!P8,('TAS Apr 2021'!P8*'TAS Apr 2021'!N8/100),($C$25*$C$26*'TAS Apr 2021'!N8/100)))</f>
        <v>382.22727272727275</v>
      </c>
      <c r="E31" s="165">
        <f>IF(AND('TAS Apr 2021'!P8&gt;0,'TAS Apr 2021'!R8&gt;0),IF($C$25*$C$26&lt;'TAS Apr 2021'!P8,0,IF($C$25*$C$26&lt;=('TAS Apr 2021'!R8+'TAS Apr 2021'!P8),(($C$25*$C$26-'TAS Apr 2021'!P8)*'TAS Apr 2021'!Q8/100),(('TAS Apr 2021'!R8)*'TAS Apr 2021'!Q8/100))),0)</f>
        <v>0</v>
      </c>
      <c r="F31" s="165">
        <f>IF(AND('TAS Apr 2021'!R8&gt;0,'TAS Apr 2021'!T8&gt;0),IF(($C$25*$C$26&lt;'TAS Apr 2021'!T8),(0),($C$25*$C$246-'TAS Apr 2021'!T8)*'TAS Apr 2021'!U8/100),IF(AND('TAS Apr 2021'!R8&gt;0,'TAS Apr 2021'!T8=""),IF(($C$25*$C$26&lt;'TAS Apr 2021'!R8+'TAS Apr 2021'!P8),(0),(($C$25*$C$26-('TAS Apr 2021'!R8+'TAS Apr 2021'!P8))*'TAS Apr 2021'!S8/100)),IF(AND('TAS Apr 2021'!P8&gt;0,'TAS Apr 2021'!R8=""&gt;0),IF(($C$25*$C$26&lt;'TAS Apr 2021'!P8),(0),($C$25*$C$26-'TAS Apr 2021'!P8)*'TAS Apr 2021'!Q8/100),0)))</f>
        <v>0</v>
      </c>
      <c r="G31" s="166">
        <f>($C$25*$C$27)*'TAS Apr 2021'!AI8/100</f>
        <v>368.36363636363632</v>
      </c>
      <c r="H31" s="167">
        <f>($C$25*$C$28)*'TAS Apr 2021'!W8/100</f>
        <v>161.59090909090909</v>
      </c>
      <c r="I31" s="168">
        <f>SUM(C31:H31)</f>
        <v>1004.0587272727272</v>
      </c>
      <c r="J31" s="168">
        <f>(I31-C31)*4</f>
        <v>3648.7272727272725</v>
      </c>
      <c r="K31" s="168">
        <f>I31*4</f>
        <v>4016.2349090909088</v>
      </c>
      <c r="L31" s="169">
        <f>K31*1.1</f>
        <v>4417.8584000000001</v>
      </c>
      <c r="M31" s="170">
        <f>'TAS Apr 2021'!BC8</f>
        <v>0</v>
      </c>
      <c r="N31" s="170">
        <f>'TAS Apr 2021'!BD8</f>
        <v>0</v>
      </c>
      <c r="O31" s="170">
        <f>'TAS Apr 2021'!BE8</f>
        <v>0</v>
      </c>
      <c r="P31" s="170">
        <f>'TAS Apr 2021'!BF8</f>
        <v>0</v>
      </c>
      <c r="Q31" s="170" t="str">
        <f>IF(SUM(M31:P31)=0,"No discount",IF(M31&gt;0,"Guaranteed off bill",IF(N31&gt;0,"Guaranteed off usage",IF(O31&gt;0,"Pay-on-time off bill","Pay-on-time off usage"))))</f>
        <v>No discount</v>
      </c>
      <c r="R31" s="170" t="str">
        <f t="shared" ref="R31:R32" si="5">IF(OR(A31="Origin Energy",A31="Red Energy",A31="Powershop"),"Inclusive","Exclusive")</f>
        <v>Exclusive</v>
      </c>
      <c r="S31" s="20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0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69">
        <f t="shared" ref="U31:U32" si="6">IF(R31="Exclusive",S31*1.1,S31)</f>
        <v>4417.8584000000001</v>
      </c>
      <c r="V31" s="169">
        <f t="shared" ref="V31:V32" si="7">IF(R31="Exclusive",T31*1.1,T31)</f>
        <v>4417.8584000000001</v>
      </c>
      <c r="W31" s="171" t="str">
        <f>'TAS Apr 2021'!BM8</f>
        <v>n</v>
      </c>
      <c r="X31" s="172">
        <f>'TAS Apr 2021'!BN8</f>
        <v>0</v>
      </c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5" thickBot="1" x14ac:dyDescent="0.2">
      <c r="A32" s="136" t="str">
        <f>'TAS Apr 2021'!K9</f>
        <v>1st Energy</v>
      </c>
      <c r="B32" s="143" t="str">
        <f>'TAS Apr 2021'!L9</f>
        <v>1st Saver</v>
      </c>
      <c r="C32" s="116">
        <f>IF('TAS Apr 2021'!BQ9=0,91*'TAS Apr 2021'!M9/100,(91*'TAS Apr 2021'!M9/100)+'TAS Apr 2021'!BQ9/4)</f>
        <v>91.876909090909081</v>
      </c>
      <c r="D32" s="116">
        <f>IF('TAS Apr 2021'!O9="",$C$25*$C$26*'TAS Apr 2021'!N9/100,IF($C$25*$C$26&gt;='TAS Apr 2021'!P9,('TAS Apr 2021'!P9*'TAS Apr 2021'!N9/100),($C$25*$C$26*'TAS Apr 2021'!N9/100)))</f>
        <v>382.22727272727275</v>
      </c>
      <c r="E32" s="116">
        <f>IF(AND('TAS Apr 2021'!P9&gt;0,'TAS Apr 2021'!R9&gt;0),IF($C$25*$C$26&lt;'TAS Apr 2021'!P9,0,IF($C$25*$C$26&lt;=('TAS Apr 2021'!R9+'TAS Apr 2021'!P9),(($C$25*$C$26-'TAS Apr 2021'!P9)*'TAS Apr 2021'!Q9/100),(('TAS Apr 2021'!R9)*'TAS Apr 2021'!Q9/100))),0)</f>
        <v>0</v>
      </c>
      <c r="F32" s="116">
        <f>IF(AND('TAS Apr 2021'!R9&gt;0,'TAS Apr 2021'!T9&gt;0),IF(($C$25*$C$26&lt;'TAS Apr 2021'!T9),(0),($C$25*$C$246-'TAS Apr 2021'!T9)*'TAS Apr 2021'!U9/100),IF(AND('TAS Apr 2021'!R9&gt;0,'TAS Apr 2021'!T9=""),IF(($C$25*$C$26&lt;'TAS Apr 2021'!R9+'TAS Apr 2021'!P9),(0),(($C$25*$C$26-('TAS Apr 2021'!R9+'TAS Apr 2021'!P9))*'TAS Apr 2021'!S9/100)),IF(AND('TAS Apr 2021'!P9&gt;0,'TAS Apr 2021'!R9=""&gt;0),IF(($C$25*$C$26&lt;'TAS Apr 2021'!P9),(0),($C$25*$C$26-'TAS Apr 2021'!P9)*'TAS Apr 2021'!Q9/100),0)))</f>
        <v>0</v>
      </c>
      <c r="G32" s="118">
        <f>($C$25*$C$27)*'TAS Apr 2021'!AI9/100</f>
        <v>0</v>
      </c>
      <c r="H32" s="119">
        <f>($C$25*$C$28)*'TAS Apr 2021'!W9/100</f>
        <v>161.59090909090909</v>
      </c>
      <c r="I32" s="120">
        <f>SUM(C32:H32)</f>
        <v>635.69509090909094</v>
      </c>
      <c r="J32" s="120">
        <f>(I32-C32)*4</f>
        <v>2175.2727272727275</v>
      </c>
      <c r="K32" s="120">
        <f>I32*4</f>
        <v>2542.7803636363637</v>
      </c>
      <c r="L32" s="121">
        <f>K32*1.1</f>
        <v>2797.0584000000003</v>
      </c>
      <c r="M32" s="115">
        <f>'TAS Apr 2021'!BC9</f>
        <v>0</v>
      </c>
      <c r="N32" s="115">
        <f>'TAS Apr 2021'!BD9</f>
        <v>0</v>
      </c>
      <c r="O32" s="115">
        <f>'TAS Apr 2021'!BE9</f>
        <v>5</v>
      </c>
      <c r="P32" s="115">
        <f>'TAS Apr 2021'!BF9</f>
        <v>0</v>
      </c>
      <c r="Q32" s="115" t="str">
        <f>IF(SUM(M32:P32)=0,"No discount",IF(M32&gt;0,"Guaranteed off bill",IF(N32&gt;0,"Guaranteed off usage",IF(O32&gt;0,"Pay-on-time off bill","Pay-on-time off usage"))))</f>
        <v>Pay-on-time off bill</v>
      </c>
      <c r="R32" s="115" t="str">
        <f t="shared" si="5"/>
        <v>Exclusive</v>
      </c>
      <c r="S32" s="20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0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21">
        <f t="shared" si="6"/>
        <v>2797.0584000000003</v>
      </c>
      <c r="V32" s="121">
        <f t="shared" si="7"/>
        <v>2657.2054800000001</v>
      </c>
      <c r="W32" s="137">
        <f>'TAS Apr 2021'!BM9</f>
        <v>0</v>
      </c>
      <c r="X32" s="138">
        <f>'TAS Apr 2021'!BN9</f>
        <v>12</v>
      </c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</row>
    <row r="33" spans="1:44" ht="14" x14ac:dyDescent="0.1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</row>
    <row r="34" spans="1:44" ht="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</row>
    <row r="35" spans="1:44" ht="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</row>
    <row r="36" spans="1:44" ht="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</row>
    <row r="37" spans="1:44" ht="14" x14ac:dyDescent="0.15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</row>
    <row r="38" spans="1:44" ht="14" x14ac:dyDescent="0.15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</row>
    <row r="39" spans="1:44" ht="14" x14ac:dyDescent="0.15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</row>
    <row r="40" spans="1:44" ht="14" x14ac:dyDescent="0.15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</row>
    <row r="41" spans="1:44" ht="14" x14ac:dyDescent="0.1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</row>
    <row r="42" spans="1:44" ht="14" x14ac:dyDescent="0.1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</row>
    <row r="43" spans="1:44" ht="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</row>
    <row r="44" spans="1:44" ht="14" x14ac:dyDescent="0.15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</row>
    <row r="45" spans="1:44" ht="14" x14ac:dyDescent="0.1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</row>
    <row r="46" spans="1:44" ht="14" x14ac:dyDescent="0.15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</row>
    <row r="47" spans="1:44" ht="14" x14ac:dyDescent="0.1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</row>
    <row r="48" spans="1:44" ht="14" x14ac:dyDescent="0.15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</row>
    <row r="49" spans="1:44" ht="14" x14ac:dyDescent="0.1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</row>
    <row r="50" spans="1:44" ht="14" x14ac:dyDescent="0.15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</row>
    <row r="51" spans="1:44" ht="14" x14ac:dyDescent="0.1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</row>
    <row r="52" spans="1:44" ht="14" x14ac:dyDescent="0.1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</row>
    <row r="53" spans="1:44" ht="14" x14ac:dyDescent="0.15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</row>
    <row r="54" spans="1:44" ht="14" x14ac:dyDescent="0.1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</row>
    <row r="55" spans="1:44" ht="14" x14ac:dyDescent="0.15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</row>
    <row r="56" spans="1:44" ht="14" x14ac:dyDescent="0.15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</row>
    <row r="57" spans="1:44" ht="14" x14ac:dyDescent="0.15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</row>
    <row r="58" spans="1:44" ht="14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</row>
    <row r="59" spans="1:44" ht="14" x14ac:dyDescent="0.15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</row>
    <row r="60" spans="1:44" ht="14" x14ac:dyDescent="0.15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</row>
  </sheetData>
  <sheetProtection algorithmName="SHA-512" hashValue="8WRW+TcOgUDT3NZTyXHzN3WveM8UlPhz0oV6YC0CVDKhnY53pbz3TDPOB9XNj0o/R8/tYMzdSpJc1aWAE2+IxA==" saltValue="m/haZ47oaddQgcu4j65oGQ==" spinCount="100000" sheet="1" objects="1" scenarios="1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5B02-720E-AC42-A8F1-CCB0CD669307}">
  <sheetPr codeName="Sheet19">
    <tabColor theme="7" tint="0.59999389629810485"/>
  </sheetPr>
  <dimension ref="A1:BA76"/>
  <sheetViews>
    <sheetView zoomScaleNormal="100" zoomScalePageLayoutView="120" workbookViewId="0">
      <selection activeCell="AD23" sqref="AD23"/>
    </sheetView>
  </sheetViews>
  <sheetFormatPr baseColWidth="10" defaultRowHeight="14" x14ac:dyDescent="0.15"/>
  <cols>
    <col min="1" max="1" width="20.33203125" style="235" customWidth="1"/>
    <col min="2" max="2" width="14" style="235" bestFit="1" customWidth="1"/>
    <col min="3" max="9" width="12.1640625" style="235" customWidth="1"/>
    <col min="10" max="11" width="12.1640625" style="235" hidden="1" customWidth="1"/>
    <col min="12" max="16" width="12.1640625" style="235" customWidth="1"/>
    <col min="17" max="20" width="12.1640625" style="235" hidden="1" customWidth="1"/>
    <col min="21" max="24" width="12.1640625" style="235" customWidth="1"/>
    <col min="25" max="53" width="7.5" style="235" customWidth="1"/>
    <col min="54" max="16384" width="10.83203125" style="235"/>
  </cols>
  <sheetData>
    <row r="1" spans="1:53" x14ac:dyDescent="0.15">
      <c r="A1" s="235" t="s">
        <v>149</v>
      </c>
    </row>
    <row r="2" spans="1:53" x14ac:dyDescent="0.15">
      <c r="A2" s="236" t="s">
        <v>48</v>
      </c>
    </row>
    <row r="3" spans="1:53" ht="15" thickBot="1" x14ac:dyDescent="0.2">
      <c r="G3" s="237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</row>
    <row r="8" spans="1:53" x14ac:dyDescent="0.15">
      <c r="A8" s="163" t="str">
        <f>'TAS Oct 2020'!K2</f>
        <v>Aurora Energy</v>
      </c>
      <c r="B8" s="164" t="str">
        <f>'TAS Oct 2020'!L2</f>
        <v>Regulated</v>
      </c>
      <c r="C8" s="165">
        <f>IF('TAS Oct 2020'!BQ2=0,91*'TAS Oct 2020'!M2/100,(91*'TAS Oct 2020'!M2/100)+'TAS Oct 2020'!BQ2/4)</f>
        <v>84.820272727272709</v>
      </c>
      <c r="D8" s="165">
        <f>IF('TAS Oct 2020'!O2="",$C$5*'TAS Oct 2020'!N2/100,IF($C$5&gt;='TAS Oct 2020'!P2,('TAS Oct 2020'!P2*'TAS Oct 2020'!N2/100),($C$5*'TAS Oct 2020'!N2/100)))</f>
        <v>154.81818181818181</v>
      </c>
      <c r="E8" s="165">
        <f>IF(AND('TAS Oct 2020'!P2&gt;0,'TAS Oct 2020'!R2&gt;0),IF($C$5&lt;'TAS Oct 2020'!P2,0,IF($C$5&lt;=('TAS Oct 2020'!R2+'TAS Oct 2020'!P2),(($C$5-'TAS Oct 2020'!P2)*'TAS Oct 2020'!Q2/100),(('TAS Oct 2020'!R2)*'TAS Oct 2020'!Q2/100))),0)</f>
        <v>0</v>
      </c>
      <c r="F8" s="165">
        <f>IF(AND('TAS Oct 2020'!Q2&gt;0,'TAS Oct 2020'!S2&gt;0),IF($C$5&lt;('TAS Oct 2020'!R2+'TAS Oct 2020'!P2),0,IF($C$5&lt;=('TAS Oct 2020'!T2+'TAS Oct 2020'!R2+'TAS Oct 2020'!P2),(($C$5-('TAS Oct 2020'!R2+'TAS Oct 2020'!P2))*'TAS Oct 2020'!S2/100),('TAS Oct 2020'!T2*'TAS Oct 2020'!S2/100))),0)</f>
        <v>0</v>
      </c>
      <c r="G8" s="166">
        <v>0</v>
      </c>
      <c r="H8" s="165">
        <f>IF(AND('TAS Oct 2020'!R2&gt;0,'TAS Oct 2020'!T2&gt;0),IF(($C$5&lt;'TAS Oct 2020'!T2),(0),($C$5-'TAS Oct 2020'!T2)*'TAS Oct 2020'!U2/100),IF(AND('TAS Oct 2020'!R2&gt;0,'TAS Oct 2020'!T2=""),IF(($C$5&lt;'TAS Oct 2020'!R2+'TAS Oct 2020'!P2),(0),(($C$5-('TAS Oct 2020'!R2+'TAS Oct 2020'!P2))*'TAS Oct 2020'!S2/100)),IF(AND('TAS Oct 2020'!P2&gt;0,'TAS Oct 2020'!R2=""&gt;0),IF(($C$5&lt;'TAS Oct 2020'!P2),(0),($C$5-'TAS Oct 2020'!P2)*'TAS Oct 2020'!Q2/100),0)))</f>
        <v>1030.9090909090908</v>
      </c>
      <c r="I8" s="168">
        <f>SUM(C8:H8)</f>
        <v>1270.5475454545453</v>
      </c>
      <c r="J8" s="168">
        <f>(I8-C8)*4</f>
        <v>4742.9090909090901</v>
      </c>
      <c r="K8" s="168">
        <f>I8*4</f>
        <v>5082.1901818181814</v>
      </c>
      <c r="L8" s="169">
        <f>K8*1.1</f>
        <v>5590.4092000000001</v>
      </c>
      <c r="M8" s="170">
        <f>'TAS Oct 2020'!BC2</f>
        <v>0</v>
      </c>
      <c r="N8" s="170">
        <f>'TAS Oct 2020'!BD2</f>
        <v>0</v>
      </c>
      <c r="O8" s="170">
        <f>'TAS Oct 2020'!BE2</f>
        <v>0</v>
      </c>
      <c r="P8" s="170">
        <f>'TAS Oct 2020'!BF2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69">
        <f t="shared" ref="U8:V10" si="1">S8*1.1</f>
        <v>5590.4092000000001</v>
      </c>
      <c r="V8" s="169">
        <f t="shared" si="1"/>
        <v>5590.4092000000001</v>
      </c>
      <c r="W8" s="171" t="str">
        <f>'TAS Oct 2020'!BM2</f>
        <v>n</v>
      </c>
      <c r="X8" s="172">
        <f>'TAS Oct 2020'!BN2</f>
        <v>0</v>
      </c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</row>
    <row r="9" spans="1:53" x14ac:dyDescent="0.15">
      <c r="A9" s="133" t="str">
        <f>'TAS Oct 2020'!K3</f>
        <v>1st Energy</v>
      </c>
      <c r="B9" s="142" t="str">
        <f>'TAS Oct 2020'!L3</f>
        <v>1st Saver</v>
      </c>
      <c r="C9" s="107">
        <f>IF('TAS Oct 2020'!BQ3=0,91*'TAS Oct 2020'!M3/100,(91*'TAS Oct 2020'!M3/100)+'TAS Oct 2020'!BQ3/4)</f>
        <v>84.811999999999983</v>
      </c>
      <c r="D9" s="107">
        <f>IF('TAS Oct 2020'!O3="",$C$5*'TAS Oct 2020'!N3/100,IF($C$5&gt;='TAS Oct 2020'!P3,('TAS Oct 2020'!P3*'TAS Oct 2020'!N3/100),($C$5*'TAS Oct 2020'!N3/100)))</f>
        <v>154.81818181818181</v>
      </c>
      <c r="E9" s="107">
        <f>IF(AND('TAS Oct 2020'!P3&gt;0,'TAS Oct 2020'!R3&gt;0),IF($C$5&lt;'TAS Oct 2020'!P3,0,IF($C$5&lt;=('TAS Oct 2020'!R3+'TAS Oct 2020'!P3),(($C$5-'TAS Oct 2020'!P3)*'TAS Oct 2020'!Q3/100),(('TAS Oct 2020'!R3)*'TAS Oct 2020'!Q3/100))),0)</f>
        <v>0</v>
      </c>
      <c r="F9" s="107">
        <f>IF(AND('TAS Oct 2020'!Q3&gt;0,'TAS Oct 2020'!S3&gt;0),IF($C$5&lt;('TAS Oct 2020'!R3+'TAS Oct 2020'!P3),0,IF($C$5&lt;=('TAS Oct 2020'!T3+'TAS Oct 2020'!R3+'TAS Oct 2020'!P3),(($C$5-('TAS Oct 2020'!R3+'TAS Oct 2020'!P3))*'TAS Oct 2020'!S3/100),('TAS Oct 2020'!T3*'TAS Oct 2020'!S3/100))),0)</f>
        <v>0</v>
      </c>
      <c r="G9" s="109">
        <v>0</v>
      </c>
      <c r="H9" s="107">
        <f>IF(AND('TAS Oct 2020'!R3&gt;0,'TAS Oct 2020'!T3&gt;0),IF(($C$5&lt;'TAS Oct 2020'!T3),(0),($C$5-'TAS Oct 2020'!T3)*'TAS Oct 2020'!U3/100),IF(AND('TAS Oct 2020'!R3&gt;0,'TAS Oct 2020'!T3=""),IF(($C$5&lt;'TAS Oct 2020'!R3+'TAS Oct 2020'!P3),(0),(($C$5-('TAS Oct 2020'!R3+'TAS Oct 2020'!P3))*'TAS Oct 2020'!S3/100)),IF(AND('TAS Oct 2020'!P3&gt;0,'TAS Oct 2020'!R3=""&gt;0),IF(($C$5&lt;'TAS Oct 2020'!P3),(0),($C$5-'TAS Oct 2020'!P3)*'TAS Oct 2020'!Q3/100),0)))</f>
        <v>1030.5</v>
      </c>
      <c r="I9" s="111">
        <f>SUM(C9:H9)</f>
        <v>1270.1301818181819</v>
      </c>
      <c r="J9" s="111">
        <f>(I9-C9)*4</f>
        <v>4741.2727272727279</v>
      </c>
      <c r="K9" s="111">
        <f>I9*4</f>
        <v>5080.5207272727275</v>
      </c>
      <c r="L9" s="112">
        <f>K9*1.1</f>
        <v>5588.5728000000008</v>
      </c>
      <c r="M9" s="106">
        <f>'TAS Oct 2020'!BC3</f>
        <v>0</v>
      </c>
      <c r="N9" s="106">
        <f>'TAS Oct 2020'!BD3</f>
        <v>0</v>
      </c>
      <c r="O9" s="106">
        <f>'TAS Oct 2020'!BE3</f>
        <v>5</v>
      </c>
      <c r="P9" s="106">
        <f>'TAS Oct 2020'!BF3</f>
        <v>0</v>
      </c>
      <c r="Q9" s="106" t="str">
        <f>IF(SUM(M9:P9)=0,"No discount",IF(M9&gt;0,"Guaranteed off bill",IF(N9&gt;0,"Guaranteed off usage",IF(O9&gt;0,"Pay-on-time off bill","Pay-on-time off usage"))))</f>
        <v>Pay-on-time off bill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12">
        <f t="shared" si="1"/>
        <v>5588.5728000000008</v>
      </c>
      <c r="V9" s="112">
        <f t="shared" si="1"/>
        <v>5309.1441600000007</v>
      </c>
      <c r="W9" s="134">
        <f>'TAS Oct 2020'!BM3</f>
        <v>0</v>
      </c>
      <c r="X9" s="135">
        <f>'TAS Oct 2020'!BN3</f>
        <v>12</v>
      </c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</row>
    <row r="10" spans="1:53" ht="15" thickBot="1" x14ac:dyDescent="0.2">
      <c r="A10" s="136" t="str">
        <f>'TAS Oct 2020'!K4</f>
        <v>Future X Power</v>
      </c>
      <c r="B10" s="143" t="str">
        <f>'TAS Oct 2020'!L4</f>
        <v>Business Smart</v>
      </c>
      <c r="C10" s="116">
        <f>IF('TAS Oct 2020'!BQ4=0,91*'TAS Oct 2020'!M4/100,(91*'TAS Oct 2020'!M4/100)+'TAS Oct 2020'!BQ4/4)</f>
        <v>85.995000000000005</v>
      </c>
      <c r="D10" s="116">
        <f>IF('TAS Oct 2020'!O4="",$C$5*'TAS Oct 2020'!N4/100,IF($C$5&gt;='TAS Oct 2020'!P4,('TAS Oct 2020'!P4*'TAS Oct 2020'!N4/100),($C$5*'TAS Oct 2020'!N4/100)))</f>
        <v>156.99999999999997</v>
      </c>
      <c r="E10" s="116">
        <f>IF(AND('TAS Oct 2020'!P4&gt;0,'TAS Oct 2020'!R4&gt;0),IF($C$5&lt;'TAS Oct 2020'!P4,0,IF($C$5&lt;=('TAS Oct 2020'!R4+'TAS Oct 2020'!P4),(($C$5-'TAS Oct 2020'!P4)*'TAS Oct 2020'!Q4/100),(('TAS Oct 2020'!R4)*'TAS Oct 2020'!Q4/100))),0)</f>
        <v>0</v>
      </c>
      <c r="F10" s="116">
        <f>IF(AND('TAS Oct 2020'!Q4&gt;0,'TAS Oct 2020'!S4&gt;0),IF($C$5&lt;('TAS Oct 2020'!R4+'TAS Oct 2020'!P4),0,IF($C$5&lt;=('TAS Oct 2020'!T4+'TAS Oct 2020'!R4+'TAS Oct 2020'!P4),(($C$5-('TAS Oct 2020'!R4+'TAS Oct 2020'!P4))*'TAS Oct 2020'!S4/100),('TAS Oct 2020'!T4*'TAS Oct 2020'!S4/100))),0)</f>
        <v>0</v>
      </c>
      <c r="G10" s="118">
        <v>1</v>
      </c>
      <c r="H10" s="116">
        <f>IF(AND('TAS Oct 2020'!R4&gt;0,'TAS Oct 2020'!T4&gt;0),IF(($C$5&lt;'TAS Oct 2020'!T4),(0),($C$5-'TAS Oct 2020'!T4)*'TAS Oct 2020'!U4/100),IF(AND('TAS Oct 2020'!R4&gt;0,'TAS Oct 2020'!T4=""),IF(($C$5&lt;'TAS Oct 2020'!R4+'TAS Oct 2020'!P4),(0),(($C$5-('TAS Oct 2020'!R4+'TAS Oct 2020'!P4))*'TAS Oct 2020'!S4/100)),IF(AND('TAS Oct 2020'!P4&gt;0,'TAS Oct 2020'!R4=""&gt;0),IF(($C$5&lt;'TAS Oct 2020'!P4),(0),($C$5-'TAS Oct 2020'!P4)*'TAS Oct 2020'!Q4/100),0)))</f>
        <v>1044</v>
      </c>
      <c r="I10" s="120">
        <f>SUM(C10:H10)</f>
        <v>1287.9949999999999</v>
      </c>
      <c r="J10" s="120">
        <f>(I10-C10)*4</f>
        <v>4808</v>
      </c>
      <c r="K10" s="120">
        <f>I10*4</f>
        <v>5151.9799999999996</v>
      </c>
      <c r="L10" s="121">
        <f>K10*1.1</f>
        <v>5667.1779999999999</v>
      </c>
      <c r="M10" s="115">
        <f>'TAS Oct 2020'!BC4</f>
        <v>0</v>
      </c>
      <c r="N10" s="115">
        <f>'TAS Oct 2020'!BD4</f>
        <v>3</v>
      </c>
      <c r="O10" s="115">
        <f>'TAS Oct 2020'!BE4</f>
        <v>0</v>
      </c>
      <c r="P10" s="115">
        <f>'TAS Oct 2020'!BF4</f>
        <v>0</v>
      </c>
      <c r="Q10" s="115" t="str">
        <f>IF(SUM(M10:P10)=0,"No discount",IF(M10&gt;0,"Guaranteed off bill",IF(N10&gt;0,"Guaranteed off usage",IF(O10&gt;0,"Pay-on-time off bill","Pay-on-time off usage"))))</f>
        <v>Guaranteed off usage</v>
      </c>
      <c r="R10" s="115" t="str">
        <f t="shared" ref="R10" si="2">IF(OR(A10="Origin Energy",A10="Red Energy",A10="Powershop"),"Inclusive","Exclusive")</f>
        <v>Exclusive</v>
      </c>
      <c r="S10" s="20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0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21">
        <f t="shared" si="1"/>
        <v>5508.5140000000001</v>
      </c>
      <c r="V10" s="121">
        <f t="shared" si="1"/>
        <v>5508.5140000000001</v>
      </c>
      <c r="W10" s="137" t="str">
        <f>'TAS Oct 2020'!BM4</f>
        <v>n</v>
      </c>
      <c r="X10" s="138">
        <f>'TAS Oct 2020'!BN4</f>
        <v>0</v>
      </c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</row>
    <row r="11" spans="1:53" x14ac:dyDescent="0.15"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</row>
    <row r="12" spans="1:53" ht="15" thickBot="1" x14ac:dyDescent="0.2"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</row>
    <row r="13" spans="1:53" x14ac:dyDescent="0.15">
      <c r="A13" s="51" t="s">
        <v>96</v>
      </c>
      <c r="B13" s="52"/>
      <c r="C13" s="52"/>
      <c r="D13" s="67"/>
      <c r="E13" s="67"/>
      <c r="F13" s="67"/>
      <c r="G13" s="67"/>
      <c r="H13" s="67"/>
      <c r="I13" s="68"/>
      <c r="J13" s="6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</row>
    <row r="14" spans="1:53" x14ac:dyDescent="0.15">
      <c r="A14" s="54" t="s">
        <v>79</v>
      </c>
      <c r="B14" s="39"/>
      <c r="C14" s="72">
        <v>5000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</row>
    <row r="15" spans="1:53" x14ac:dyDescent="0.15">
      <c r="A15" s="54" t="s">
        <v>97</v>
      </c>
      <c r="B15" s="39"/>
      <c r="C15" s="73">
        <v>0.7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</row>
    <row r="16" spans="1:53" x14ac:dyDescent="0.15">
      <c r="A16" s="54" t="s">
        <v>148</v>
      </c>
      <c r="B16" s="39"/>
      <c r="C16" s="73">
        <v>0.3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</row>
    <row r="17" spans="1:53" x14ac:dyDescent="0.15">
      <c r="A17" s="54"/>
      <c r="B17" s="39"/>
      <c r="C17" s="69"/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</row>
    <row r="18" spans="1:53" ht="75" x14ac:dyDescent="0.15">
      <c r="A18" s="230" t="s">
        <v>73</v>
      </c>
      <c r="B18" s="130" t="s">
        <v>80</v>
      </c>
      <c r="C18" s="124" t="s">
        <v>81</v>
      </c>
      <c r="D18" s="124" t="s">
        <v>82</v>
      </c>
      <c r="E18" s="124" t="s">
        <v>83</v>
      </c>
      <c r="F18" s="124" t="s">
        <v>84</v>
      </c>
      <c r="G18" s="124" t="s">
        <v>86</v>
      </c>
      <c r="H18" s="124" t="s">
        <v>96</v>
      </c>
      <c r="I18" s="124" t="s">
        <v>87</v>
      </c>
      <c r="J18" s="231" t="s">
        <v>243</v>
      </c>
      <c r="K18" s="232" t="s">
        <v>61</v>
      </c>
      <c r="L18" s="125" t="s">
        <v>246</v>
      </c>
      <c r="M18" s="126" t="s">
        <v>62</v>
      </c>
      <c r="N18" s="126" t="s">
        <v>63</v>
      </c>
      <c r="O18" s="126" t="s">
        <v>64</v>
      </c>
      <c r="P18" s="126" t="s">
        <v>65</v>
      </c>
      <c r="Q18" s="233" t="s">
        <v>244</v>
      </c>
      <c r="R18" s="233" t="s">
        <v>245</v>
      </c>
      <c r="S18" s="234" t="s">
        <v>66</v>
      </c>
      <c r="T18" s="234" t="s">
        <v>67</v>
      </c>
      <c r="U18" s="127" t="s">
        <v>25</v>
      </c>
      <c r="V18" s="127" t="s">
        <v>26</v>
      </c>
      <c r="W18" s="126" t="s">
        <v>68</v>
      </c>
      <c r="X18" s="128" t="s">
        <v>95</v>
      </c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</row>
    <row r="19" spans="1:53" x14ac:dyDescent="0.15">
      <c r="A19" s="163" t="str">
        <f>'TAS Oct 2020'!K5</f>
        <v>Aurora Energy</v>
      </c>
      <c r="B19" s="164" t="str">
        <f>'TAS Oct 2020'!L5</f>
        <v>Regulated</v>
      </c>
      <c r="C19" s="165">
        <f>IF('TAS Oct 2020'!BQ5=0,91*'TAS Oct 2020'!M5/100,(91*'TAS Oct 2020'!M5/100)+'TAS Oct 2020'!BQ5/4)</f>
        <v>103.22709090909089</v>
      </c>
      <c r="D19" s="165">
        <f>IF('TAS Oct 2020'!O5="",$C$14*$C$15*'TAS Oct 2020'!N5/100,IF($C$14*$C$15&gt;='TAS Oct 2020'!P5,('TAS Oct 2020'!P5*'TAS Oct 2020'!N5/100),($C$14*$C$15*'TAS Oct 2020'!N5/100)))</f>
        <v>154.81818181818181</v>
      </c>
      <c r="E19" s="165">
        <f>IF(AND('TAS Oct 2020'!P5&gt;0,'TAS Oct 2020'!R5&gt;0),IF($C$14*$C$15&lt;'TAS Oct 2020'!P5,0,IF($C$14*$C$15&lt;=('TAS Oct 2020'!R5+'TAS Oct 2020'!P5),(($C$14*$C$15-'TAS Oct 2020'!P5)*'TAS Oct 2020'!Q5/100),(('TAS Oct 2020'!R5)*'TAS Oct 2020'!Q5/100))),0)</f>
        <v>0</v>
      </c>
      <c r="F19" s="165">
        <f>IF(AND('TAS Oct 2020'!Q2&gt;0,'TAS Oct 2020'!S2&gt;0),IF($C$14*$C$15&lt;('TAS Oct 2020'!R2+'TAS Oct 2020'!P2),0,IF($C$14*$C$15&lt;=('TAS Oct 2020'!T2+'TAS Oct 2020'!R2+'TAS Oct 2020'!P2),(($C$14*$C$15-('TAS Oct 2020'!R2+'TAS Oct 2020'!P2))*'TAS Oct 2020'!S2/100),('TAS Oct 2020'!T2*'TAS Oct 2020'!S2/100))),0)</f>
        <v>0</v>
      </c>
      <c r="G19" s="165">
        <f>IF(AND('TAS Oct 2020'!R5&gt;0,'TAS Oct 2020'!T5&gt;0),IF(($C$14*$C$15&lt;'TAS Oct 2020'!T5),(0),($C$14*$C$15-'TAS Oct 2020'!T5)*'TAS Oct 2020'!U5/100),IF(AND('TAS Oct 2020'!R5&gt;0,'TAS Oct 2020'!T5=""),IF(($C$14*$C$15&lt;'TAS Oct 2020'!R5+'TAS Oct 2020'!P5),(0),(($C$14*$C$15-('TAS Oct 2020'!R5+'TAS Oct 2020'!P5))*'TAS Oct 2020'!S5/100)),IF(AND('TAS Oct 2020'!P5&gt;0,'TAS Oct 2020'!R5=""&gt;0),IF(($C$14*$C$15&lt;'TAS Oct 2020'!P5),(0),($C$14*$C$15-'TAS Oct 2020'!P5)*'TAS Oct 2020'!Q5/100),0)))</f>
        <v>687.27272727272725</v>
      </c>
      <c r="H19" s="167">
        <f>($C$14*$C$16)*'TAS Oct 2020'!AF5/100</f>
        <v>192.27272727272725</v>
      </c>
      <c r="I19" s="168">
        <f>SUM(C19:H19)</f>
        <v>1137.5907272727272</v>
      </c>
      <c r="J19" s="168">
        <f>(I19-C19)*4</f>
        <v>4137.454545454545</v>
      </c>
      <c r="K19" s="168">
        <f>I19*4</f>
        <v>4550.3629090909089</v>
      </c>
      <c r="L19" s="169">
        <f>K19*1.1</f>
        <v>5005.3991999999998</v>
      </c>
      <c r="M19" s="170">
        <f>'TAS Oct 2020'!BC5</f>
        <v>0</v>
      </c>
      <c r="N19" s="170">
        <f>'TAS Oct 2020'!BD5</f>
        <v>0</v>
      </c>
      <c r="O19" s="170">
        <f>'TAS Oct 2020'!BE5</f>
        <v>0</v>
      </c>
      <c r="P19" s="170">
        <f>'TAS Oct 2020'!BF5</f>
        <v>0</v>
      </c>
      <c r="Q19" s="170" t="str">
        <f>IF(SUM(M19:P19)=0,"No discount",IF(M19&gt;0,"Guaranteed off bill",IF(N19&gt;0,"Guaranteed off usage",IF(O19&gt;0,"Pay-on-time off bill","Pay-on-time off usage"))))</f>
        <v>No discount</v>
      </c>
      <c r="R19" s="170" t="str">
        <f t="shared" ref="R19:R20" si="3">IF(OR(A19="Origin Energy",A19="Red Energy",A19="Powershop"),"Inclusive","Exclusive")</f>
        <v>Exclusive</v>
      </c>
      <c r="S19" s="20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0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69">
        <f t="shared" ref="U19:U20" si="4">IF(R19="Exclusive",S19*1.1,S19)</f>
        <v>5005.3991999999998</v>
      </c>
      <c r="V19" s="169">
        <f t="shared" ref="V19:V20" si="5">IF(R19="Exclusive",T19*1.1,T19)</f>
        <v>5005.3991999999998</v>
      </c>
      <c r="W19" s="171" t="str">
        <f>'TAS Oct 2020'!BM5</f>
        <v>n</v>
      </c>
      <c r="X19" s="172">
        <f>'TAS Oct 2020'!BN5</f>
        <v>0</v>
      </c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</row>
    <row r="20" spans="1:53" x14ac:dyDescent="0.15">
      <c r="A20" s="133" t="str">
        <f>'TAS Oct 2020'!K6</f>
        <v>1st Energy</v>
      </c>
      <c r="B20" s="142" t="str">
        <f>'TAS Oct 2020'!L6</f>
        <v>1st Saver</v>
      </c>
      <c r="C20" s="107">
        <f>IF('TAS Oct 2020'!BQ6=0,91*'TAS Oct 2020'!M6/100,(91*'TAS Oct 2020'!M6/100)+'TAS Oct 2020'!BQ6/4)</f>
        <v>100.01727272727273</v>
      </c>
      <c r="D20" s="107">
        <f>IF('TAS Oct 2020'!O6="",$C$14*$C$15*'TAS Oct 2020'!N6/100,IF($C$14*$C$15&gt;='TAS Oct 2020'!P6,('TAS Oct 2020'!P6*'TAS Oct 2020'!N6/100),($C$14*$C$15*'TAS Oct 2020'!N6/100)))</f>
        <v>154.81818181818181</v>
      </c>
      <c r="E20" s="107">
        <f>IF(AND('TAS Oct 2020'!P6&gt;0,'TAS Oct 2020'!R6&gt;0),IF($C$14*$C$15&lt;'TAS Oct 2020'!P6,0,IF($C$14*$C$15&lt;=('TAS Oct 2020'!R6+'TAS Oct 2020'!P6),(($C$14*$C$15-'TAS Oct 2020'!P6)*'TAS Oct 2020'!Q6/100),(('TAS Oct 2020'!R6)*'TAS Oct 2020'!Q6/100))),0)</f>
        <v>0</v>
      </c>
      <c r="F20" s="107">
        <f>IF(AND('TAS Oct 2020'!Q3&gt;0,'TAS Oct 2020'!S3&gt;0),IF($C$14*$C$15&lt;('TAS Oct 2020'!R3+'TAS Oct 2020'!P3),0,IF($C$14*$C$15&lt;=('TAS Oct 2020'!T3+'TAS Oct 2020'!R3+'TAS Oct 2020'!P3),(($C$14*$C$15-('TAS Oct 2020'!R3+'TAS Oct 2020'!P3))*'TAS Oct 2020'!S3/100),('TAS Oct 2020'!T3*'TAS Oct 2020'!S3/100))),0)</f>
        <v>0</v>
      </c>
      <c r="G20" s="107">
        <f>IF(AND('TAS Oct 2020'!R6&gt;0,'TAS Oct 2020'!T6&gt;0),IF(($C$14*$C$15&lt;'TAS Oct 2020'!T6),(0),($C$14*$C$15-'TAS Oct 2020'!T6)*'TAS Oct 2020'!U6/100),IF(AND('TAS Oct 2020'!R6&gt;0,'TAS Oct 2020'!T6=""),IF(($C$14*$C$15&lt;'TAS Oct 2020'!R6+'TAS Oct 2020'!P6),(0),(($C$14*$C$15-('TAS Oct 2020'!R6+'TAS Oct 2020'!P6))*'TAS Oct 2020'!S6/100)),IF(AND('TAS Oct 2020'!P6&gt;0,'TAS Oct 2020'!R6=""&gt;0),IF(($C$14*$C$15&lt;'TAS Oct 2020'!P6),(0),($C$14*$C$15-'TAS Oct 2020'!P6)*'TAS Oct 2020'!Q6/100),0)))</f>
        <v>687</v>
      </c>
      <c r="H20" s="110">
        <f>($C$14*$C$16)*'TAS Oct 2020'!AF6/100</f>
        <v>219.95454545454544</v>
      </c>
      <c r="I20" s="111">
        <f>SUM(C20:H20)</f>
        <v>1161.79</v>
      </c>
      <c r="J20" s="111">
        <f>(I20-C20)*4</f>
        <v>4247.090909090909</v>
      </c>
      <c r="K20" s="111">
        <f>I20*4</f>
        <v>4647.16</v>
      </c>
      <c r="L20" s="112">
        <f>K20*1.1</f>
        <v>5111.8760000000002</v>
      </c>
      <c r="M20" s="106">
        <f>'TAS Oct 2020'!BC6</f>
        <v>0</v>
      </c>
      <c r="N20" s="106">
        <f>'TAS Oct 2020'!BD6</f>
        <v>0</v>
      </c>
      <c r="O20" s="106">
        <f>'TAS Oct 2020'!BE6</f>
        <v>5</v>
      </c>
      <c r="P20" s="106">
        <f>'TAS Oct 2020'!BF6</f>
        <v>0</v>
      </c>
      <c r="Q20" s="106" t="str">
        <f>IF(SUM(M20:P20)=0,"No discount",IF(M20&gt;0,"Guaranteed off bill",IF(N20&gt;0,"Guaranteed off usage",IF(O20&gt;0,"Pay-on-time off bill","Pay-on-time off usage"))))</f>
        <v>Pay-on-time off bill</v>
      </c>
      <c r="R20" s="106" t="str">
        <f t="shared" si="3"/>
        <v>Exclusive</v>
      </c>
      <c r="S20" s="248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49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12">
        <f t="shared" si="4"/>
        <v>5111.8760000000002</v>
      </c>
      <c r="V20" s="112">
        <f t="shared" si="5"/>
        <v>4856.2821999999996</v>
      </c>
      <c r="W20" s="134">
        <f>'TAS Oct 2020'!BM6</f>
        <v>0</v>
      </c>
      <c r="X20" s="135">
        <f>'TAS Oct 2020'!BN6</f>
        <v>12</v>
      </c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</row>
    <row r="21" spans="1:53" ht="15" thickBot="1" x14ac:dyDescent="0.2">
      <c r="A21" s="136" t="str">
        <f>'TAS Oct 2020'!K7</f>
        <v>Future X Power</v>
      </c>
      <c r="B21" s="143" t="str">
        <f>'TAS Oct 2020'!L7</f>
        <v>Business Smart</v>
      </c>
      <c r="C21" s="116">
        <f>IF('TAS Oct 2020'!BQ7=0,91*'TAS Oct 2020'!M7/100,(91*'TAS Oct 2020'!M7/100)+'TAS Oct 2020'!BQ7/4)</f>
        <v>93.092999999999989</v>
      </c>
      <c r="D21" s="116">
        <f>IF('TAS Oct 2020'!O7="",$C$14*$C$15*'TAS Oct 2020'!N7/100,IF($C$14*$C$15&gt;='TAS Oct 2020'!P7,('TAS Oct 2020'!P7*'TAS Oct 2020'!N7/100),($C$14*$C$15*'TAS Oct 2020'!N7/100)))</f>
        <v>156.99999999999997</v>
      </c>
      <c r="E21" s="116">
        <f>IF(AND('TAS Oct 2020'!P7&gt;0,'TAS Oct 2020'!R7&gt;0),IF($C$14*$C$15&lt;'TAS Oct 2020'!P7,0,IF($C$14*$C$15&lt;=('TAS Oct 2020'!R7+'TAS Oct 2020'!P7),(($C$14*$C$15-'TAS Oct 2020'!P7)*'TAS Oct 2020'!Q7/100),(('TAS Oct 2020'!R7)*'TAS Oct 2020'!Q7/100))),0)</f>
        <v>0</v>
      </c>
      <c r="F21" s="116">
        <f>IF(AND('TAS Oct 2020'!Q4&gt;0,'TAS Oct 2020'!S4&gt;0),IF($C$14*$C$15&lt;('TAS Oct 2020'!R4+'TAS Oct 2020'!P4),0,IF($C$14*$C$15&lt;=('TAS Oct 2020'!T4+'TAS Oct 2020'!R4+'TAS Oct 2020'!P4),(($C$14*$C$15-('TAS Oct 2020'!R4+'TAS Oct 2020'!P4))*'TAS Oct 2020'!S4/100),('TAS Oct 2020'!T4*'TAS Oct 2020'!S4/100))),0)</f>
        <v>0</v>
      </c>
      <c r="G21" s="116">
        <f>IF(AND('TAS Oct 2020'!R7&gt;0,'TAS Oct 2020'!T7&gt;0),IF(($C$14*$C$15&lt;'TAS Oct 2020'!T7),(0),($C$14*$C$15-'TAS Oct 2020'!T7)*'TAS Oct 2020'!U7/100),IF(AND('TAS Oct 2020'!R7&gt;0,'TAS Oct 2020'!T7=""),IF(($C$14*$C$15&lt;'TAS Oct 2020'!R7+'TAS Oct 2020'!P7),(0),(($C$14*$C$15-('TAS Oct 2020'!R7+'TAS Oct 2020'!P7))*'TAS Oct 2020'!S7/100)),IF(AND('TAS Oct 2020'!P7&gt;0,'TAS Oct 2020'!R7=""&gt;0),IF(($C$14*$C$15&lt;'TAS Oct 2020'!P7),(0),($C$14*$C$15-'TAS Oct 2020'!P7)*'TAS Oct 2020'!Q7/100),0)))</f>
        <v>696</v>
      </c>
      <c r="H21" s="119">
        <f>($C$14*$C$16)*'TAS Oct 2020'!AF7/100</f>
        <v>223.49999999999997</v>
      </c>
      <c r="I21" s="120">
        <f>SUM(C21:H21)</f>
        <v>1169.5929999999998</v>
      </c>
      <c r="J21" s="120">
        <f>(I21-C21)*4</f>
        <v>4305.9999999999991</v>
      </c>
      <c r="K21" s="120">
        <f>I21*4</f>
        <v>4678.3719999999994</v>
      </c>
      <c r="L21" s="121">
        <f>K21*1.1</f>
        <v>5146.2091999999993</v>
      </c>
      <c r="M21" s="115">
        <f>'TAS Oct 2020'!BC7</f>
        <v>0</v>
      </c>
      <c r="N21" s="115">
        <f>'TAS Oct 2020'!BD7</f>
        <v>3</v>
      </c>
      <c r="O21" s="115">
        <f>'TAS Oct 2020'!BE7</f>
        <v>0</v>
      </c>
      <c r="P21" s="115">
        <f>'TAS Oct 2020'!BF7</f>
        <v>0</v>
      </c>
      <c r="Q21" s="115" t="str">
        <f>IF(SUM(M21:P21)=0,"No discount",IF(M21&gt;0,"Guaranteed off bill",IF(N21&gt;0,"Guaranteed off usage",IF(O21&gt;0,"Pay-on-time off bill","Pay-on-time off usage"))))</f>
        <v>Guaranteed off usage</v>
      </c>
      <c r="R21" s="115" t="str">
        <f t="shared" ref="R21" si="6">IF(OR(A21="Origin Energy",A21="Red Energy",A21="Powershop"),"Inclusive","Exclusive")</f>
        <v>Exclusive</v>
      </c>
      <c r="S21" s="20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0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21">
        <f t="shared" ref="U21" si="7">IF(R21="Exclusive",S21*1.1,S21)</f>
        <v>5004.1111999999994</v>
      </c>
      <c r="V21" s="121">
        <f t="shared" ref="V21" si="8">IF(R21="Exclusive",T21*1.1,T21)</f>
        <v>5004.1111999999994</v>
      </c>
      <c r="W21" s="137" t="str">
        <f>'TAS Oct 2020'!BM7</f>
        <v>n</v>
      </c>
      <c r="X21" s="138">
        <f>'TAS Oct 2020'!BN7</f>
        <v>0</v>
      </c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</row>
    <row r="22" spans="1:53" x14ac:dyDescent="0.15"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</row>
    <row r="23" spans="1:53" ht="15" thickBot="1" x14ac:dyDescent="0.2">
      <c r="S23" s="237"/>
      <c r="U23" s="237"/>
      <c r="V23" s="237"/>
      <c r="W23" s="237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</row>
    <row r="24" spans="1:53" x14ac:dyDescent="0.15">
      <c r="A24" s="51" t="s">
        <v>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</row>
    <row r="25" spans="1:53" x14ac:dyDescent="0.15">
      <c r="A25" s="54" t="s">
        <v>22</v>
      </c>
      <c r="B25" s="39"/>
      <c r="C25" s="72">
        <v>5000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</row>
    <row r="26" spans="1:53" x14ac:dyDescent="0.15">
      <c r="A26" s="54" t="s">
        <v>23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</row>
    <row r="27" spans="1:53" x14ac:dyDescent="0.15">
      <c r="A27" s="54" t="s">
        <v>24</v>
      </c>
      <c r="B27" s="39"/>
      <c r="C27" s="73">
        <v>0.4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</row>
    <row r="28" spans="1:53" x14ac:dyDescent="0.15">
      <c r="A28" s="54" t="s">
        <v>21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</row>
    <row r="29" spans="1:53" x14ac:dyDescent="0.15">
      <c r="A29" s="5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</row>
    <row r="30" spans="1:53" ht="75" x14ac:dyDescent="0.15">
      <c r="A30" s="230" t="s">
        <v>35</v>
      </c>
      <c r="B30" s="130" t="s">
        <v>36</v>
      </c>
      <c r="C30" s="124" t="s">
        <v>27</v>
      </c>
      <c r="D30" s="124" t="s">
        <v>153</v>
      </c>
      <c r="E30" s="124" t="s">
        <v>83</v>
      </c>
      <c r="F30" s="124" t="s">
        <v>154</v>
      </c>
      <c r="G30" s="124" t="s">
        <v>155</v>
      </c>
      <c r="H30" s="124" t="s">
        <v>156</v>
      </c>
      <c r="I30" s="124" t="s">
        <v>87</v>
      </c>
      <c r="J30" s="231" t="s">
        <v>243</v>
      </c>
      <c r="K30" s="232" t="s">
        <v>157</v>
      </c>
      <c r="L30" s="125" t="s">
        <v>246</v>
      </c>
      <c r="M30" s="126" t="s">
        <v>94</v>
      </c>
      <c r="N30" s="126" t="s">
        <v>123</v>
      </c>
      <c r="O30" s="126" t="s">
        <v>124</v>
      </c>
      <c r="P30" s="126" t="s">
        <v>125</v>
      </c>
      <c r="Q30" s="233" t="s">
        <v>244</v>
      </c>
      <c r="R30" s="233" t="s">
        <v>245</v>
      </c>
      <c r="S30" s="234" t="s">
        <v>66</v>
      </c>
      <c r="T30" s="234" t="s">
        <v>67</v>
      </c>
      <c r="U30" s="127" t="s">
        <v>25</v>
      </c>
      <c r="V30" s="127" t="s">
        <v>26</v>
      </c>
      <c r="W30" s="126" t="s">
        <v>55</v>
      </c>
      <c r="X30" s="128" t="s">
        <v>160</v>
      </c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</row>
    <row r="31" spans="1:53" x14ac:dyDescent="0.15">
      <c r="A31" s="163" t="str">
        <f>'TAS Oct 2020'!K8</f>
        <v>Aurora Energy</v>
      </c>
      <c r="B31" s="164" t="str">
        <f>'TAS Oct 2020'!L8</f>
        <v>Regulated</v>
      </c>
      <c r="C31" s="165">
        <f>IF('TAS Oct 2020'!BQ8=0,91*'TAS Oct 2020'!M8/100,(91*'TAS Oct 2020'!M8/100)+'TAS Oct 2020'!BQ8/4)</f>
        <v>91.876909090909081</v>
      </c>
      <c r="D31" s="165">
        <f>IF('TAS Oct 2020'!O8="",$C$25*$C$26*'TAS Oct 2020'!N8/100,IF($C$25*$C$26&gt;='TAS Oct 2020'!P8,('TAS Oct 2020'!P8*'TAS Oct 2020'!N8/100),($C$25*$C$26*'TAS Oct 2020'!N8/100)))</f>
        <v>382.22727272727275</v>
      </c>
      <c r="E31" s="165">
        <f>IF(AND('TAS Oct 2020'!P8&gt;0,'TAS Oct 2020'!R8&gt;0),IF($C$25*$C$26&lt;'TAS Oct 2020'!P8,0,IF($C$25*$C$26&lt;=('TAS Oct 2020'!R8+'TAS Oct 2020'!P8),(($C$25*$C$26-'TAS Oct 2020'!P8)*'TAS Oct 2020'!Q8/100),(('TAS Oct 2020'!R8)*'TAS Oct 2020'!Q8/100))),0)</f>
        <v>0</v>
      </c>
      <c r="F31" s="165">
        <f>IF(AND('TAS Oct 2020'!R8&gt;0,'TAS Oct 2020'!T8&gt;0),IF(($C$25*$C$26&lt;'TAS Oct 2020'!T8),(0),($C$25*$C$246-'TAS Oct 2020'!T8)*'TAS Oct 2020'!U8/100),IF(AND('TAS Oct 2020'!R8&gt;0,'TAS Oct 2020'!T8=""),IF(($C$25*$C$26&lt;'TAS Oct 2020'!R8+'TAS Oct 2020'!P8),(0),(($C$25*$C$26-('TAS Oct 2020'!R8+'TAS Oct 2020'!P8))*'TAS Oct 2020'!S8/100)),IF(AND('TAS Oct 2020'!P8&gt;0,'TAS Oct 2020'!R8=""&gt;0),IF(($C$25*$C$26&lt;'TAS Oct 2020'!P8),(0),($C$25*$C$26-'TAS Oct 2020'!P8)*'TAS Oct 2020'!Q8/100),0)))</f>
        <v>0</v>
      </c>
      <c r="G31" s="166">
        <f>($C$25*$C$27)*'TAS Oct 2020'!AI8/100</f>
        <v>368.36363636363632</v>
      </c>
      <c r="H31" s="167">
        <f>($C$25*$C$28)*'TAS Oct 2020'!W8/100</f>
        <v>161.59090909090909</v>
      </c>
      <c r="I31" s="168">
        <f>SUM(C31:H31)</f>
        <v>1004.0587272727272</v>
      </c>
      <c r="J31" s="168">
        <f>(I31-C31)*4</f>
        <v>3648.7272727272725</v>
      </c>
      <c r="K31" s="168">
        <f>I31*4</f>
        <v>4016.2349090909088</v>
      </c>
      <c r="L31" s="169">
        <f>K31*1.1</f>
        <v>4417.8584000000001</v>
      </c>
      <c r="M31" s="170">
        <f>'TAS Oct 2020'!BC8</f>
        <v>0</v>
      </c>
      <c r="N31" s="170">
        <f>'TAS Oct 2020'!BD8</f>
        <v>0</v>
      </c>
      <c r="O31" s="170">
        <f>'TAS Oct 2020'!BE8</f>
        <v>0</v>
      </c>
      <c r="P31" s="170">
        <f>'TAS Oct 2020'!BF8</f>
        <v>0</v>
      </c>
      <c r="Q31" s="170" t="str">
        <f>IF(SUM(M31:P31)=0,"No discount",IF(M31&gt;0,"Guaranteed off bill",IF(N31&gt;0,"Guaranteed off usage",IF(O31&gt;0,"Pay-on-time off bill","Pay-on-time off usage"))))</f>
        <v>No discount</v>
      </c>
      <c r="R31" s="170" t="str">
        <f t="shared" ref="R31:R32" si="9">IF(OR(A31="Origin Energy",A31="Red Energy",A31="Powershop"),"Inclusive","Exclusive")</f>
        <v>Exclusive</v>
      </c>
      <c r="S31" s="20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0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69">
        <f t="shared" ref="U31:U32" si="10">IF(R31="Exclusive",S31*1.1,S31)</f>
        <v>4417.8584000000001</v>
      </c>
      <c r="V31" s="169">
        <f t="shared" ref="V31:V32" si="11">IF(R31="Exclusive",T31*1.1,T31)</f>
        <v>4417.8584000000001</v>
      </c>
      <c r="W31" s="171" t="str">
        <f>'TAS Oct 2020'!BM8</f>
        <v>n</v>
      </c>
      <c r="X31" s="172">
        <f>'TAS Oct 2020'!BN8</f>
        <v>0</v>
      </c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</row>
    <row r="32" spans="1:53" ht="15" thickBot="1" x14ac:dyDescent="0.2">
      <c r="A32" s="136" t="str">
        <f>'TAS Oct 2020'!K9</f>
        <v>1st Energy</v>
      </c>
      <c r="B32" s="143" t="str">
        <f>'TAS Oct 2020'!L9</f>
        <v>1st Saver</v>
      </c>
      <c r="C32" s="116">
        <f>IF('TAS Oct 2020'!BQ9=0,91*'TAS Oct 2020'!M9/100,(91*'TAS Oct 2020'!M9/100)+'TAS Oct 2020'!BQ9/4)</f>
        <v>91.876909090909081</v>
      </c>
      <c r="D32" s="116">
        <f>IF('TAS Oct 2020'!O9="",$C$25*$C$26*'TAS Oct 2020'!N9/100,IF($C$25*$C$26&gt;='TAS Oct 2020'!P9,('TAS Oct 2020'!P9*'TAS Oct 2020'!N9/100),($C$25*$C$26*'TAS Oct 2020'!N9/100)))</f>
        <v>382.22727272727275</v>
      </c>
      <c r="E32" s="116">
        <f>IF(AND('TAS Oct 2020'!P9&gt;0,'TAS Oct 2020'!R9&gt;0),IF($C$25*$C$26&lt;'TAS Oct 2020'!P9,0,IF($C$25*$C$26&lt;=('TAS Oct 2020'!R9+'TAS Oct 2020'!P9),(($C$25*$C$26-'TAS Oct 2020'!P9)*'TAS Oct 2020'!Q9/100),(('TAS Oct 2020'!R9)*'TAS Oct 2020'!Q9/100))),0)</f>
        <v>0</v>
      </c>
      <c r="F32" s="116">
        <f>IF(AND('TAS Oct 2020'!R9&gt;0,'TAS Oct 2020'!T9&gt;0),IF(($C$25*$C$26&lt;'TAS Oct 2020'!T9),(0),($C$25*$C$246-'TAS Oct 2020'!T9)*'TAS Oct 2020'!U9/100),IF(AND('TAS Oct 2020'!R9&gt;0,'TAS Oct 2020'!T9=""),IF(($C$25*$C$26&lt;'TAS Oct 2020'!R9+'TAS Oct 2020'!P9),(0),(($C$25*$C$26-('TAS Oct 2020'!R9+'TAS Oct 2020'!P9))*'TAS Oct 2020'!S9/100)),IF(AND('TAS Oct 2020'!P9&gt;0,'TAS Oct 2020'!R9=""&gt;0),IF(($C$25*$C$26&lt;'TAS Oct 2020'!P9),(0),($C$25*$C$26-'TAS Oct 2020'!P9)*'TAS Oct 2020'!Q9/100),0)))</f>
        <v>0</v>
      </c>
      <c r="G32" s="118">
        <f>($C$25*$C$27)*'TAS Oct 2020'!AI9/100</f>
        <v>0</v>
      </c>
      <c r="H32" s="119">
        <f>($C$25*$C$28)*'TAS Oct 2020'!W9/100</f>
        <v>161.59090909090909</v>
      </c>
      <c r="I32" s="120">
        <f>SUM(C32:H32)</f>
        <v>635.69509090909094</v>
      </c>
      <c r="J32" s="120">
        <f>(I32-C32)*4</f>
        <v>2175.2727272727275</v>
      </c>
      <c r="K32" s="120">
        <f>I32*4</f>
        <v>2542.7803636363637</v>
      </c>
      <c r="L32" s="121">
        <f>K32*1.1</f>
        <v>2797.0584000000003</v>
      </c>
      <c r="M32" s="115">
        <f>'TAS Oct 2020'!BC9</f>
        <v>0</v>
      </c>
      <c r="N32" s="115">
        <f>'TAS Oct 2020'!BD9</f>
        <v>0</v>
      </c>
      <c r="O32" s="115">
        <f>'TAS Oct 2020'!BE9</f>
        <v>5</v>
      </c>
      <c r="P32" s="115">
        <f>'TAS Oct 2020'!BF9</f>
        <v>0</v>
      </c>
      <c r="Q32" s="115" t="str">
        <f>IF(SUM(M32:P32)=0,"No discount",IF(M32&gt;0,"Guaranteed off bill",IF(N32&gt;0,"Guaranteed off usage",IF(O32&gt;0,"Pay-on-time off bill","Pay-on-time off usage"))))</f>
        <v>Pay-on-time off bill</v>
      </c>
      <c r="R32" s="115" t="str">
        <f t="shared" si="9"/>
        <v>Exclusive</v>
      </c>
      <c r="S32" s="20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0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21">
        <f t="shared" si="10"/>
        <v>2797.0584000000003</v>
      </c>
      <c r="V32" s="121">
        <f t="shared" si="11"/>
        <v>2657.2054800000001</v>
      </c>
      <c r="W32" s="137">
        <f>'TAS Oct 2020'!BM9</f>
        <v>0</v>
      </c>
      <c r="X32" s="138">
        <f>'TAS Oct 2020'!BN9</f>
        <v>12</v>
      </c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</row>
    <row r="33" spans="25:53" x14ac:dyDescent="0.15"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</row>
    <row r="34" spans="25:53" x14ac:dyDescent="0.15"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</row>
    <row r="35" spans="25:53" x14ac:dyDescent="0.15"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</row>
    <row r="36" spans="25:53" x14ac:dyDescent="0.15"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</row>
    <row r="37" spans="25:53" x14ac:dyDescent="0.15"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</row>
    <row r="38" spans="25:53" x14ac:dyDescent="0.15"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</row>
    <row r="39" spans="25:53" x14ac:dyDescent="0.15"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</row>
    <row r="40" spans="25:53" x14ac:dyDescent="0.15"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</row>
    <row r="41" spans="25:53" x14ac:dyDescent="0.15"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</row>
    <row r="42" spans="25:53" x14ac:dyDescent="0.15"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</row>
    <row r="43" spans="25:53" x14ac:dyDescent="0.15"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</row>
    <row r="44" spans="25:53" x14ac:dyDescent="0.15"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</row>
    <row r="45" spans="25:53" x14ac:dyDescent="0.15"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</row>
    <row r="46" spans="25:53" x14ac:dyDescent="0.15"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</row>
    <row r="47" spans="25:53" x14ac:dyDescent="0.15"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</row>
    <row r="48" spans="25:53" x14ac:dyDescent="0.15"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</row>
    <row r="49" spans="25:53" x14ac:dyDescent="0.15"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</row>
    <row r="50" spans="25:53" x14ac:dyDescent="0.15"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</row>
    <row r="51" spans="25:53" x14ac:dyDescent="0.15"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</row>
    <row r="52" spans="25:53" x14ac:dyDescent="0.15"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</row>
    <row r="53" spans="25:53" x14ac:dyDescent="0.15"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</row>
    <row r="54" spans="25:53" x14ac:dyDescent="0.15"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</row>
    <row r="55" spans="25:53" x14ac:dyDescent="0.15"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</row>
    <row r="56" spans="25:53" x14ac:dyDescent="0.15"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</row>
    <row r="57" spans="25:53" x14ac:dyDescent="0.15"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</row>
    <row r="58" spans="25:53" x14ac:dyDescent="0.15"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</row>
    <row r="59" spans="25:53" x14ac:dyDescent="0.15"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</row>
    <row r="60" spans="25:53" x14ac:dyDescent="0.15"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</row>
    <row r="61" spans="25:53" x14ac:dyDescent="0.15"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</row>
    <row r="62" spans="25:53" x14ac:dyDescent="0.15"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</row>
    <row r="63" spans="25:53" x14ac:dyDescent="0.15"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</row>
    <row r="64" spans="25:53" x14ac:dyDescent="0.15"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</row>
    <row r="65" spans="25:53" x14ac:dyDescent="0.15"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</row>
    <row r="66" spans="25:53" x14ac:dyDescent="0.15"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</row>
    <row r="67" spans="25:53" x14ac:dyDescent="0.15"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</row>
    <row r="68" spans="25:53" x14ac:dyDescent="0.15"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</row>
    <row r="69" spans="25:53" x14ac:dyDescent="0.15"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</row>
    <row r="70" spans="25:53" x14ac:dyDescent="0.15"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</row>
    <row r="71" spans="25:53" x14ac:dyDescent="0.15"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</row>
    <row r="72" spans="25:53" x14ac:dyDescent="0.15"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</row>
    <row r="73" spans="25:53" x14ac:dyDescent="0.15"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</row>
    <row r="74" spans="25:53" x14ac:dyDescent="0.15"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</row>
    <row r="75" spans="25:53" x14ac:dyDescent="0.15"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</row>
    <row r="76" spans="25:53" x14ac:dyDescent="0.15"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</row>
  </sheetData>
  <sheetProtection algorithmName="SHA-512" hashValue="j616DtHlnmApbeznA/tz1r/l8eeE4CaoYxsfPxhLj8yzqDBLsQWLh99k9h/gR9Co69MT40S67R/6tvlzh+lD7Q==" saltValue="fyfDrEpJEUtVJkydm6d5aA==" spinCount="100000" sheet="1" objects="1" scenarios="1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99BE-A38D-3B47-947E-394FF9EE511C}">
  <sheetPr codeName="Sheet2">
    <tabColor theme="5" tint="0.39997558519241921"/>
  </sheetPr>
  <dimension ref="A1:BA74"/>
  <sheetViews>
    <sheetView zoomScaleNormal="100" zoomScalePageLayoutView="120" workbookViewId="0"/>
  </sheetViews>
  <sheetFormatPr baseColWidth="10" defaultRowHeight="14" x14ac:dyDescent="0.15"/>
  <cols>
    <col min="1" max="1" width="20.33203125" style="239" customWidth="1"/>
    <col min="2" max="2" width="13.5" style="239" customWidth="1"/>
    <col min="3" max="9" width="12.1640625" style="239" customWidth="1"/>
    <col min="10" max="11" width="12.1640625" style="239" hidden="1" customWidth="1"/>
    <col min="12" max="16" width="12.1640625" style="239" customWidth="1"/>
    <col min="17" max="20" width="12.1640625" style="239" hidden="1" customWidth="1"/>
    <col min="21" max="24" width="12.1640625" style="239" customWidth="1"/>
    <col min="25" max="53" width="7.5" style="239" customWidth="1"/>
    <col min="54" max="16384" width="10.83203125" style="239"/>
  </cols>
  <sheetData>
    <row r="1" spans="1:53" x14ac:dyDescent="0.15">
      <c r="A1" s="239" t="s">
        <v>149</v>
      </c>
    </row>
    <row r="2" spans="1:53" x14ac:dyDescent="0.15">
      <c r="A2" s="240" t="s">
        <v>48</v>
      </c>
    </row>
    <row r="3" spans="1:53" ht="15" thickBot="1" x14ac:dyDescent="0.2">
      <c r="G3" s="241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x14ac:dyDescent="0.15">
      <c r="A8" s="163" t="str">
        <f>'TAS Apr 2020'!K2</f>
        <v>Aurora Energy</v>
      </c>
      <c r="B8" s="164" t="str">
        <f>'TAS Apr 2020'!L2</f>
        <v>Regulated</v>
      </c>
      <c r="C8" s="165">
        <f>IF('TAS Apr 2020'!BQ2=0,91*'TAS Apr 2020'!M2/100,(91*'TAS Apr 2020'!M2/100)+'TAS Apr 2020'!BQ2/4)</f>
        <v>86.011545454545455</v>
      </c>
      <c r="D8" s="165">
        <f>IF('TAS Apr 2020'!O2="",$C$5*'TAS Apr 2020'!N2/100,IF($C$5&gt;='TAS Apr 2020'!P2,('TAS Apr 2020'!P2*'TAS Apr 2020'!N2/100),($C$5*'TAS Apr 2020'!N2/100)))</f>
        <v>156.99999999999997</v>
      </c>
      <c r="E8" s="165">
        <f>IF(AND('TAS Apr 2020'!P2&gt;0,'TAS Apr 2020'!R2&gt;0),IF($C$5&lt;'TAS Apr 2020'!P2,0,IF($C$5&lt;=('TAS Apr 2020'!R2+'TAS Apr 2020'!P2),(($C$5-'TAS Apr 2020'!P2)*'TAS Apr 2020'!Q2/100),(('TAS Apr 2020'!R2)*'TAS Apr 2020'!Q2/100))),0)</f>
        <v>0</v>
      </c>
      <c r="F8" s="165">
        <f>IF(AND('TAS Apr 2020'!Q2&gt;0,'TAS Apr 2020'!S2&gt;0),IF($C$5&lt;('TAS Apr 2020'!R2+'TAS Apr 2020'!P2),0,IF($C$5&lt;=('TAS Apr 2020'!T2+'TAS Apr 2020'!R2+'TAS Apr 2020'!P2),(($C$5-('TAS Apr 2020'!R2+'TAS Apr 2020'!P2))*'TAS Apr 2020'!S2/100),('TAS Apr 2020'!T2*'TAS Apr 2020'!S2/100))),0)</f>
        <v>0</v>
      </c>
      <c r="G8" s="166">
        <v>0</v>
      </c>
      <c r="H8" s="165">
        <f>IF(AND('TAS Apr 2020'!R2&gt;0,'TAS Apr 2020'!T2&gt;0),IF(($C$5&lt;'TAS Apr 2020'!T2),(0),($C$5-'TAS Apr 2020'!T2)*'TAS Apr 2020'!U2/100),IF(AND('TAS Apr 2020'!R2&gt;0,'TAS Apr 2020'!T2=""),IF(($C$5&lt;'TAS Apr 2020'!R2+'TAS Apr 2020'!P2),(0),(($C$5-('TAS Apr 2020'!R2+'TAS Apr 2020'!P2))*'TAS Apr 2020'!S2/100)),IF(AND('TAS Apr 2020'!P2&gt;0,'TAS Apr 2020'!R2=""&gt;0),IF(($C$5&lt;'TAS Apr 2020'!P2),(0),($C$5-'TAS Apr 2020'!P2)*'TAS Apr 2020'!Q2/100),0)))</f>
        <v>1045.2272727272727</v>
      </c>
      <c r="I8" s="168">
        <f>SUM(C8:H8)</f>
        <v>1288.2388181818183</v>
      </c>
      <c r="J8" s="168">
        <f>(I8-C8)*4</f>
        <v>4808.909090909091</v>
      </c>
      <c r="K8" s="168">
        <f>I8*4</f>
        <v>5152.955272727273</v>
      </c>
      <c r="L8" s="169">
        <f>K8*1.1</f>
        <v>5668.2508000000007</v>
      </c>
      <c r="M8" s="170">
        <f>'TAS Apr 2020'!BC2</f>
        <v>0</v>
      </c>
      <c r="N8" s="170">
        <f>'TAS Apr 2020'!BD2</f>
        <v>0</v>
      </c>
      <c r="O8" s="170">
        <f>'TAS Apr 2020'!BE2</f>
        <v>0</v>
      </c>
      <c r="P8" s="170">
        <f>'TAS Apr 2020'!BF2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69">
        <f>S8*1.1</f>
        <v>5668.2508000000007</v>
      </c>
      <c r="V8" s="169">
        <f>T8*1.1</f>
        <v>5668.2508000000007</v>
      </c>
      <c r="W8" s="171">
        <f>'TAS Apr 2020'!BM2</f>
        <v>0</v>
      </c>
      <c r="X8" s="172" t="str">
        <f>'TAS Apr 2020'!BN2</f>
        <v>n</v>
      </c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</row>
    <row r="9" spans="1:53" ht="15" thickBot="1" x14ac:dyDescent="0.2">
      <c r="A9" s="136" t="str">
        <f>'TAS Apr 2020'!K3</f>
        <v>1st Energy</v>
      </c>
      <c r="B9" s="143" t="str">
        <f>'TAS Apr 2020'!L3</f>
        <v>1st Saver</v>
      </c>
      <c r="C9" s="116">
        <f>IF('TAS Apr 2020'!BQ3=0,91*'TAS Apr 2020'!M3/100,(91*'TAS Apr 2020'!M3/100)+'TAS Apr 2020'!BQ3/4)</f>
        <v>86.00327272727273</v>
      </c>
      <c r="D9" s="116">
        <f>IF('TAS Apr 2020'!O3="",$C$5*'TAS Apr 2020'!N3/100,IF($C$5&gt;='TAS Apr 2020'!P3,('TAS Apr 2020'!P3*'TAS Apr 2020'!N3/100),($C$5*'TAS Apr 2020'!N3/100)))</f>
        <v>156.99999999999997</v>
      </c>
      <c r="E9" s="116">
        <f>IF(AND('TAS Apr 2020'!P3&gt;0,'TAS Apr 2020'!R3&gt;0),IF($C$5&lt;'TAS Apr 2020'!P3,0,IF($C$5&lt;=('TAS Apr 2020'!R3+'TAS Apr 2020'!P3),(($C$5-'TAS Apr 2020'!P3)*'TAS Apr 2020'!Q3/100),(('TAS Apr 2020'!R3)*'TAS Apr 2020'!Q3/100))),0)</f>
        <v>0</v>
      </c>
      <c r="F9" s="116">
        <f>IF(AND('TAS Apr 2020'!Q3&gt;0,'TAS Apr 2020'!S3&gt;0),IF($C$5&lt;('TAS Apr 2020'!R3+'TAS Apr 2020'!P3),0,IF($C$5&lt;=('TAS Apr 2020'!T3+'TAS Apr 2020'!R3+'TAS Apr 2020'!P3),(($C$5-('TAS Apr 2020'!R3+'TAS Apr 2020'!P3))*'TAS Apr 2020'!S3/100),('TAS Apr 2020'!T3*'TAS Apr 2020'!S3/100))),0)</f>
        <v>0</v>
      </c>
      <c r="G9" s="118">
        <v>0</v>
      </c>
      <c r="H9" s="116">
        <f>IF(AND('TAS Apr 2020'!R3&gt;0,'TAS Apr 2020'!T3&gt;0),IF(($C$5&lt;'TAS Apr 2020'!T3),(0),($C$5-'TAS Apr 2020'!T3)*'TAS Apr 2020'!U3/100),IF(AND('TAS Apr 2020'!R3&gt;0,'TAS Apr 2020'!T3=""),IF(($C$5&lt;'TAS Apr 2020'!R3+'TAS Apr 2020'!P3),(0),(($C$5-('TAS Apr 2020'!R3+'TAS Apr 2020'!P3))*'TAS Apr 2020'!S3/100)),IF(AND('TAS Apr 2020'!P3&gt;0,'TAS Apr 2020'!R3=""&gt;0),IF(($C$5&lt;'TAS Apr 2020'!P3),(0),($C$5-'TAS Apr 2020'!P3)*'TAS Apr 2020'!Q3/100),0)))</f>
        <v>1044.8181818181815</v>
      </c>
      <c r="I9" s="120">
        <f>SUM(C9:H9)</f>
        <v>1287.8214545454543</v>
      </c>
      <c r="J9" s="120">
        <f>(I9-C9)*4</f>
        <v>4807.2727272727261</v>
      </c>
      <c r="K9" s="120">
        <f>I9*4</f>
        <v>5151.2858181818174</v>
      </c>
      <c r="L9" s="121">
        <f>K9*1.1</f>
        <v>5666.4143999999997</v>
      </c>
      <c r="M9" s="115">
        <f>'TAS Apr 2020'!BC3</f>
        <v>0</v>
      </c>
      <c r="N9" s="115">
        <f>'TAS Apr 2020'!BD3</f>
        <v>0</v>
      </c>
      <c r="O9" s="115">
        <f>'TAS Apr 2020'!BE3</f>
        <v>0</v>
      </c>
      <c r="P9" s="115">
        <f>'TAS Apr 2020'!BF3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si="0"/>
        <v>Exclusive</v>
      </c>
      <c r="S9" s="20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0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21">
        <f>S9*1.1</f>
        <v>5666.4143999999997</v>
      </c>
      <c r="V9" s="121">
        <f>T9*1.1</f>
        <v>5402.0144</v>
      </c>
      <c r="W9" s="137">
        <f>'TAS Apr 2020'!BM3</f>
        <v>0</v>
      </c>
      <c r="X9" s="138">
        <f>'TAS Apr 2020'!BN3</f>
        <v>0</v>
      </c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</row>
    <row r="10" spans="1:53" x14ac:dyDescent="0.15"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</row>
    <row r="11" spans="1:53" ht="15" thickBot="1" x14ac:dyDescent="0.2"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231" t="s">
        <v>243</v>
      </c>
      <c r="K17" s="232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233" t="s">
        <v>244</v>
      </c>
      <c r="R17" s="233" t="s">
        <v>245</v>
      </c>
      <c r="S17" s="234" t="s">
        <v>66</v>
      </c>
      <c r="T17" s="234" t="s">
        <v>67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</row>
    <row r="18" spans="1:53" x14ac:dyDescent="0.15">
      <c r="A18" s="163" t="str">
        <f>'TAS Apr 2020'!K4</f>
        <v>Aurora Energy</v>
      </c>
      <c r="B18" s="164" t="str">
        <f>'TAS Apr 2020'!L4</f>
        <v>Regulated</v>
      </c>
      <c r="C18" s="165">
        <f>IF('TAS Apr 2020'!BQ4=0,91*'TAS Apr 2020'!M4/100,(91*'TAS Apr 2020'!M4/100)+'TAS Apr 2020'!BQ4/4)</f>
        <v>101.42859999999999</v>
      </c>
      <c r="D18" s="165">
        <f>IF('TAS Apr 2020'!O4="",$C$13*$C$14*'TAS Apr 2020'!N4/100,IF($C$13*$C$14&gt;='TAS Apr 2020'!P4,('TAS Apr 2020'!P4*'TAS Apr 2020'!N4/100),($C$13*$C$14*'TAS Apr 2020'!N4/100)))</f>
        <v>156.99999999999997</v>
      </c>
      <c r="E18" s="165">
        <f>IF(AND('TAS Apr 2020'!P4&gt;0,'TAS Apr 2020'!R4&gt;0),IF($C$13*$C$14&lt;'TAS Apr 2020'!P4,0,IF($C$13*$C$14&lt;=('TAS Apr 2020'!R4+'TAS Apr 2020'!P4),(($C$13*$C$14-'TAS Apr 2020'!P4)*'TAS Apr 2020'!Q4/100),(('TAS Apr 2020'!R4)*'TAS Apr 2020'!Q4/100))),0)</f>
        <v>0</v>
      </c>
      <c r="F18" s="165">
        <f>IF(AND('TAS Apr 2020'!Q2&gt;0,'TAS Apr 2020'!S2&gt;0),IF($C$13*$C$14&lt;('TAS Apr 2020'!R2+'TAS Apr 2020'!P2),0,IF($C$13*$C$14&lt;=('TAS Apr 2020'!T2+'TAS Apr 2020'!R2+'TAS Apr 2020'!P2),(($C$13*$C$14-('TAS Apr 2020'!R2+'TAS Apr 2020'!P2))*'TAS Apr 2020'!S2/100),('TAS Apr 2020'!T2*'TAS Apr 2020'!S2/100))),0)</f>
        <v>0</v>
      </c>
      <c r="G18" s="165">
        <f>IF(AND('TAS Apr 2020'!R4&gt;0,'TAS Apr 2020'!T4&gt;0),IF(($C$13*$C$14&lt;'TAS Apr 2020'!T4),(0),($C$13*$C$14-'TAS Apr 2020'!T4)*'TAS Apr 2020'!U4/100),IF(AND('TAS Apr 2020'!R4&gt;0,'TAS Apr 2020'!T4=""),IF(($C$13*$C$14&lt;'TAS Apr 2020'!R4+'TAS Apr 2020'!P4),(0),(($C$13*$C$14-('TAS Apr 2020'!R4+'TAS Apr 2020'!P4))*'TAS Apr 2020'!S4/100)),IF(AND('TAS Apr 2020'!P4&gt;0,'TAS Apr 2020'!R4=""&gt;0),IF(($C$13*$C$14&lt;'TAS Apr 2020'!P4),(0),($C$13*$C$14-'TAS Apr 2020'!P4)*'TAS Apr 2020'!Q4/100),0)))</f>
        <v>696.9</v>
      </c>
      <c r="H18" s="167">
        <f>($C$13*$C$15)*'TAS Apr 2020'!AF4/100</f>
        <v>223.05</v>
      </c>
      <c r="I18" s="168">
        <f>SUM(C18:H18)</f>
        <v>1178.3786</v>
      </c>
      <c r="J18" s="168">
        <f>(I18-C18)*4</f>
        <v>4307.8</v>
      </c>
      <c r="K18" s="168">
        <f>I18*4</f>
        <v>4713.5144</v>
      </c>
      <c r="L18" s="169">
        <f>K18*1.1</f>
        <v>5184.8658400000004</v>
      </c>
      <c r="M18" s="170">
        <f>'TAS Apr 2020'!BC4</f>
        <v>0</v>
      </c>
      <c r="N18" s="170">
        <f>'TAS Apr 2020'!BD4</f>
        <v>0</v>
      </c>
      <c r="O18" s="170">
        <f>'TAS Apr 2020'!BE4</f>
        <v>0</v>
      </c>
      <c r="P18" s="170">
        <f>'TAS Apr 2020'!BF4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1">IF(OR(A18="Origin Energy",A18="Red Energy",A18="Powershop"),"Inclusive","Exclusive")</f>
        <v>Exclusive</v>
      </c>
      <c r="S18" s="200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00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69">
        <f t="shared" ref="U18:U19" si="2">IF(R18="Exclusive",S18*1.1,S18)</f>
        <v>5184.8658400000004</v>
      </c>
      <c r="V18" s="169">
        <f t="shared" ref="V18:V19" si="3">IF(R18="Exclusive",T18*1.1,T18)</f>
        <v>5184.8658400000004</v>
      </c>
      <c r="W18" s="171">
        <f>'TAS Apr 2020'!BM4</f>
        <v>0</v>
      </c>
      <c r="X18" s="172" t="str">
        <f>'TAS Apr 2020'!BN4</f>
        <v>n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</row>
    <row r="19" spans="1:53" ht="15" thickBot="1" x14ac:dyDescent="0.2">
      <c r="A19" s="136" t="str">
        <f>'TAS Apr 2020'!K5</f>
        <v>1st Energy</v>
      </c>
      <c r="B19" s="143" t="str">
        <f>'TAS Apr 2020'!L5</f>
        <v>1st Saver</v>
      </c>
      <c r="C19" s="116">
        <f>IF('TAS Apr 2020'!BQ5=0,91*'TAS Apr 2020'!M5/100,(91*'TAS Apr 2020'!M5/100)+'TAS Apr 2020'!BQ5/4)</f>
        <v>101.41536363636364</v>
      </c>
      <c r="D19" s="116">
        <f>IF('TAS Apr 2020'!O5="",$C$13*$C$14*'TAS Apr 2020'!N5/100,IF($C$13*$C$14&gt;='TAS Apr 2020'!P5,('TAS Apr 2020'!P5*'TAS Apr 2020'!N5/100),($C$13*$C$14*'TAS Apr 2020'!N5/100)))</f>
        <v>156.99999999999997</v>
      </c>
      <c r="E19" s="116">
        <f>IF(AND('TAS Apr 2020'!P5&gt;0,'TAS Apr 2020'!R5&gt;0),IF($C$13*$C$14&lt;'TAS Apr 2020'!P5,0,IF($C$13*$C$14&lt;=('TAS Apr 2020'!R5+'TAS Apr 2020'!P5),(($C$13*$C$14-'TAS Apr 2020'!P5)*'TAS Apr 2020'!Q5/100),(('TAS Apr 2020'!R5)*'TAS Apr 2020'!Q5/100))),0)</f>
        <v>0</v>
      </c>
      <c r="F19" s="116">
        <f>IF(AND('TAS Apr 2020'!Q3&gt;0,'TAS Apr 2020'!S3&gt;0),IF($C$13*$C$14&lt;('TAS Apr 2020'!R3+'TAS Apr 2020'!P3),0,IF($C$13*$C$14&lt;=('TAS Apr 2020'!T3+'TAS Apr 2020'!R3+'TAS Apr 2020'!P3),(($C$13*$C$14-('TAS Apr 2020'!R3+'TAS Apr 2020'!P3))*'TAS Apr 2020'!S3/100),('TAS Apr 2020'!T3*'TAS Apr 2020'!S3/100))),0)</f>
        <v>0</v>
      </c>
      <c r="G19" s="116">
        <f>IF(AND('TAS Apr 2020'!R5&gt;0,'TAS Apr 2020'!T5&gt;0),IF(($C$13*$C$14&lt;'TAS Apr 2020'!T5),(0),($C$13*$C$14-'TAS Apr 2020'!T5)*'TAS Apr 2020'!U5/100),IF(AND('TAS Apr 2020'!R5&gt;0,'TAS Apr 2020'!T5=""),IF(($C$13*$C$14&lt;'TAS Apr 2020'!R5+'TAS Apr 2020'!P5),(0),(($C$13*$C$14-('TAS Apr 2020'!R5+'TAS Apr 2020'!P5))*'TAS Apr 2020'!S5/100)),IF(AND('TAS Apr 2020'!P5&gt;0,'TAS Apr 2020'!R5=""&gt;0),IF(($C$13*$C$14&lt;'TAS Apr 2020'!P5),(0),($C$13*$C$14-'TAS Apr 2020'!P5)*'TAS Apr 2020'!Q5/100),0)))</f>
        <v>696.54545454545439</v>
      </c>
      <c r="H19" s="119">
        <f>($C$13*$C$15)*'TAS Apr 2020'!AF5/100</f>
        <v>223.09090909090909</v>
      </c>
      <c r="I19" s="120">
        <f>SUM(C19:H19)</f>
        <v>1178.051727272727</v>
      </c>
      <c r="J19" s="120">
        <f>(I19-C19)*4</f>
        <v>4306.5454545454531</v>
      </c>
      <c r="K19" s="120">
        <f>I19*4</f>
        <v>4712.2069090909081</v>
      </c>
      <c r="L19" s="121">
        <f>K19*1.1</f>
        <v>5183.4275999999991</v>
      </c>
      <c r="M19" s="115">
        <f>'TAS Apr 2020'!BC5</f>
        <v>0</v>
      </c>
      <c r="N19" s="115">
        <f>'TAS Apr 2020'!BD5</f>
        <v>0</v>
      </c>
      <c r="O19" s="115">
        <f>'TAS Apr 2020'!BE5</f>
        <v>0</v>
      </c>
      <c r="P19" s="115">
        <f>'TAS Apr 2020'!BF5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1"/>
        <v>Exclusive</v>
      </c>
      <c r="S19" s="201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02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21">
        <f t="shared" si="2"/>
        <v>5183.4275999999991</v>
      </c>
      <c r="V19" s="121">
        <f t="shared" si="3"/>
        <v>4946.5675999999994</v>
      </c>
      <c r="W19" s="137">
        <f>'TAS Apr 2020'!BM5</f>
        <v>0</v>
      </c>
      <c r="X19" s="138">
        <f>'TAS Apr 2020'!BN5</f>
        <v>0</v>
      </c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</row>
    <row r="20" spans="1:53" x14ac:dyDescent="0.15"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</row>
    <row r="21" spans="1:53" ht="15" thickBot="1" x14ac:dyDescent="0.2">
      <c r="S21" s="241"/>
      <c r="U21" s="241"/>
      <c r="V21" s="241"/>
      <c r="W21" s="241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231" t="s">
        <v>243</v>
      </c>
      <c r="K28" s="232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233" t="s">
        <v>244</v>
      </c>
      <c r="R28" s="233" t="s">
        <v>245</v>
      </c>
      <c r="S28" s="234" t="s">
        <v>66</v>
      </c>
      <c r="T28" s="234" t="s">
        <v>67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</row>
    <row r="29" spans="1:53" x14ac:dyDescent="0.15">
      <c r="A29" s="163" t="str">
        <f>'TAS Apr 2020'!K6</f>
        <v>Aurora Energy</v>
      </c>
      <c r="B29" s="164" t="str">
        <f>'TAS Apr 2020'!L6</f>
        <v>Regulated</v>
      </c>
      <c r="C29" s="165">
        <f>IF('TAS Apr 2020'!BQ6=0,91*'TAS Apr 2020'!M6/100,(91*'TAS Apr 2020'!M6/100)+'TAS Apr 2020'!BQ6/4)</f>
        <v>93.159181818181807</v>
      </c>
      <c r="D29" s="165">
        <f>IF('TAS Apr 2020'!O6="",$C$23*$C$24*'TAS Apr 2020'!N6/100,IF($C$23*$C$24&gt;='TAS Apr 2020'!P6,('TAS Apr 2020'!P6*'TAS Apr 2020'!N6/100),($C$23*$C$24*'TAS Apr 2020'!N6/100)))</f>
        <v>388.22727272727275</v>
      </c>
      <c r="E29" s="165">
        <f>IF(AND('TAS Apr 2020'!P6&gt;0,'TAS Apr 2020'!R6&gt;0),IF($C$23*$C$24&lt;'TAS Apr 2020'!P6,0,IF($C$23*$C$24&lt;=('TAS Apr 2020'!R6+'TAS Apr 2020'!P6),(($C$23*$C$24-'TAS Apr 2020'!P6)*'TAS Apr 2020'!Q6/100),(('TAS Apr 2020'!R6)*'TAS Apr 2020'!Q6/100))),0)</f>
        <v>0</v>
      </c>
      <c r="F29" s="165">
        <f>IF(AND('TAS Apr 2020'!R6&gt;0,'TAS Apr 2020'!T6&gt;0),IF(($C$23*$C$24&lt;'TAS Apr 2020'!T6),(0),($C$23*$C$244-'TAS Apr 2020'!T6)*'TAS Apr 2020'!U6/100),IF(AND('TAS Apr 2020'!R6&gt;0,'TAS Apr 2020'!T6=""),IF(($C$23*$C$24&lt;'TAS Apr 2020'!R6+'TAS Apr 2020'!P6),(0),(($C$23*$C$24-('TAS Apr 2020'!R6+'TAS Apr 2020'!P6))*'TAS Apr 2020'!S6/100)),IF(AND('TAS Apr 2020'!P6&gt;0,'TAS Apr 2020'!R6=""&gt;0),IF(($C$23*$C$24&lt;'TAS Apr 2020'!P6),(0),($C$23*$C$24-'TAS Apr 2020'!P6)*'TAS Apr 2020'!Q6/100),0)))</f>
        <v>0</v>
      </c>
      <c r="G29" s="166">
        <f>($C$23*$C$25)*'TAS Apr 2020'!AI6/100</f>
        <v>373.45454545454544</v>
      </c>
      <c r="H29" s="167">
        <f>($C$23*$C$26)*'TAS Apr 2020'!W6/100</f>
        <v>163.90909090909088</v>
      </c>
      <c r="I29" s="168">
        <f>SUM(C29:H29)</f>
        <v>1018.7500909090909</v>
      </c>
      <c r="J29" s="168">
        <f>(I29-C29)*4</f>
        <v>3702.3636363636365</v>
      </c>
      <c r="K29" s="168">
        <f>I29*4</f>
        <v>4075.0003636363635</v>
      </c>
      <c r="L29" s="169">
        <f>K29*1.1</f>
        <v>4482.5003999999999</v>
      </c>
      <c r="M29" s="170">
        <f>'TAS Apr 2020'!BC6</f>
        <v>0</v>
      </c>
      <c r="N29" s="170">
        <f>'TAS Apr 2020'!BD6</f>
        <v>0</v>
      </c>
      <c r="O29" s="170">
        <f>'TAS Apr 2020'!BE6</f>
        <v>0</v>
      </c>
      <c r="P29" s="170">
        <f>'TAS Apr 2020'!BF6</f>
        <v>0</v>
      </c>
      <c r="Q29" s="170" t="str">
        <f>IF(SUM(M29:P29)=0,"No discount",IF(M29&gt;0,"Guaranteed off bill",IF(N29&gt;0,"Guaranteed off usage",IF(O29&gt;0,"Pay-on-time off bill","Pay-on-time off usage"))))</f>
        <v>No discount</v>
      </c>
      <c r="R29" s="170" t="str">
        <f t="shared" ref="R29:R30" si="4">IF(OR(A29="Origin Energy",A29="Red Energy",A29="Powershop"),"Inclusive","Exclusive")</f>
        <v>Exclusive</v>
      </c>
      <c r="S29" s="203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04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69">
        <f t="shared" ref="U29:U30" si="5">IF(R29="Exclusive",S29*1.1,S29)</f>
        <v>4482.5003999999999</v>
      </c>
      <c r="V29" s="169">
        <f t="shared" ref="V29:V30" si="6">IF(R29="Exclusive",T29*1.1,T29)</f>
        <v>4482.5003999999999</v>
      </c>
      <c r="W29" s="171">
        <f>'TAS Apr 2020'!BM6</f>
        <v>0</v>
      </c>
      <c r="X29" s="172" t="str">
        <f>'TAS Apr 2020'!BN6</f>
        <v>n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</row>
    <row r="30" spans="1:53" ht="15" thickBot="1" x14ac:dyDescent="0.2">
      <c r="A30" s="136" t="str">
        <f>'TAS Apr 2020'!K7</f>
        <v>1st Energy</v>
      </c>
      <c r="B30" s="143" t="str">
        <f>'TAS Apr 2020'!L7</f>
        <v>1st Saver</v>
      </c>
      <c r="C30" s="116">
        <f>IF('TAS Apr 2020'!BQ7=0,91*'TAS Apr 2020'!M7/100,(91*'TAS Apr 2020'!M7/100)+'TAS Apr 2020'!BQ7/4)</f>
        <v>93.159181818181807</v>
      </c>
      <c r="D30" s="116">
        <f>IF('TAS Apr 2020'!O7="",$C$23*$C$24*'TAS Apr 2020'!N7/100,IF($C$23*$C$24&gt;='TAS Apr 2020'!P7,('TAS Apr 2020'!P7*'TAS Apr 2020'!N7/100),($C$23*$C$24*'TAS Apr 2020'!N7/100)))</f>
        <v>387.54545454545456</v>
      </c>
      <c r="E30" s="116">
        <f>IF(AND('TAS Apr 2020'!P7&gt;0,'TAS Apr 2020'!R7&gt;0),IF($C$23*$C$24&lt;'TAS Apr 2020'!P7,0,IF($C$23*$C$24&lt;=('TAS Apr 2020'!R7+'TAS Apr 2020'!P7),(($C$23*$C$24-'TAS Apr 2020'!P7)*'TAS Apr 2020'!Q7/100),(('TAS Apr 2020'!R7)*'TAS Apr 2020'!Q7/100))),0)</f>
        <v>0</v>
      </c>
      <c r="F30" s="116">
        <f>IF(AND('TAS Apr 2020'!R7&gt;0,'TAS Apr 2020'!T7&gt;0),IF(($C$23*$C$24&lt;'TAS Apr 2020'!T7),(0),($C$23*$C$244-'TAS Apr 2020'!T7)*'TAS Apr 2020'!U7/100),IF(AND('TAS Apr 2020'!R7&gt;0,'TAS Apr 2020'!T7=""),IF(($C$23*$C$24&lt;'TAS Apr 2020'!R7+'TAS Apr 2020'!P7),(0),(($C$23*$C$24-('TAS Apr 2020'!R7+'TAS Apr 2020'!P7))*'TAS Apr 2020'!S7/100)),IF(AND('TAS Apr 2020'!P7&gt;0,'TAS Apr 2020'!R7=""&gt;0),IF(($C$23*$C$24&lt;'TAS Apr 2020'!P7),(0),($C$23*$C$24-'TAS Apr 2020'!P7)*'TAS Apr 2020'!Q7/100),0)))</f>
        <v>0</v>
      </c>
      <c r="G30" s="118">
        <f>($C$23*$C$25)*'TAS Apr 2020'!AI7/100</f>
        <v>366.2</v>
      </c>
      <c r="H30" s="119">
        <f>($C$23*$C$26)*'TAS Apr 2020'!W7/100</f>
        <v>163.77272727272725</v>
      </c>
      <c r="I30" s="120">
        <f>SUM(C30:H30)</f>
        <v>1010.6773636363637</v>
      </c>
      <c r="J30" s="120">
        <f>(I30-C30)*4</f>
        <v>3670.0727272727277</v>
      </c>
      <c r="K30" s="120">
        <f>I30*4</f>
        <v>4042.7094545454547</v>
      </c>
      <c r="L30" s="121">
        <f>K30*1.1</f>
        <v>4446.9804000000004</v>
      </c>
      <c r="M30" s="115">
        <f>'TAS Apr 2020'!BC7</f>
        <v>0</v>
      </c>
      <c r="N30" s="115">
        <f>'TAS Apr 2020'!BD7</f>
        <v>0</v>
      </c>
      <c r="O30" s="115">
        <f>'TAS Apr 2020'!BE7</f>
        <v>0</v>
      </c>
      <c r="P30" s="115">
        <f>'TAS Apr 2020'!BF7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15" t="str">
        <f t="shared" si="4"/>
        <v>Exclusive</v>
      </c>
      <c r="S30" s="201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02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21">
        <f t="shared" si="5"/>
        <v>4446.9804000000004</v>
      </c>
      <c r="V30" s="121">
        <f t="shared" si="6"/>
        <v>4245.1264000000001</v>
      </c>
      <c r="W30" s="137">
        <f>'TAS Apr 2020'!BM7</f>
        <v>0</v>
      </c>
      <c r="X30" s="138">
        <f>'TAS Apr 2020'!BN7</f>
        <v>0</v>
      </c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</row>
    <row r="31" spans="1:53" x14ac:dyDescent="0.15"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</row>
    <row r="32" spans="1:53" x14ac:dyDescent="0.15"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</row>
    <row r="33" spans="25:53" x14ac:dyDescent="0.15"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</row>
    <row r="34" spans="25:53" x14ac:dyDescent="0.15"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</row>
    <row r="35" spans="25:53" x14ac:dyDescent="0.15"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</row>
    <row r="36" spans="25:53" x14ac:dyDescent="0.15"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</row>
    <row r="37" spans="25:53" x14ac:dyDescent="0.15"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</row>
    <row r="38" spans="25:53" x14ac:dyDescent="0.15"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25:53" x14ac:dyDescent="0.15"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</row>
    <row r="40" spans="25:53" x14ac:dyDescent="0.15"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25:53" x14ac:dyDescent="0.15"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</row>
    <row r="42" spans="25:53" x14ac:dyDescent="0.15"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</row>
    <row r="43" spans="25:53" x14ac:dyDescent="0.15"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</row>
    <row r="44" spans="25:53" x14ac:dyDescent="0.15"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</row>
    <row r="45" spans="25:53" x14ac:dyDescent="0.15"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</row>
    <row r="46" spans="25:53" x14ac:dyDescent="0.15"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</row>
    <row r="47" spans="25:53" x14ac:dyDescent="0.15"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</row>
    <row r="48" spans="25:53" x14ac:dyDescent="0.15"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</row>
    <row r="49" spans="25:53" x14ac:dyDescent="0.15"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</row>
    <row r="50" spans="25:53" x14ac:dyDescent="0.15"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</row>
    <row r="51" spans="25:53" x14ac:dyDescent="0.15"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</row>
    <row r="52" spans="25:53" x14ac:dyDescent="0.15"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</row>
    <row r="53" spans="25:53" x14ac:dyDescent="0.15"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</row>
    <row r="54" spans="25:53" x14ac:dyDescent="0.15"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</row>
    <row r="55" spans="25:53" x14ac:dyDescent="0.15"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</row>
    <row r="56" spans="25:53" x14ac:dyDescent="0.15"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</row>
    <row r="57" spans="25:53" x14ac:dyDescent="0.15"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</row>
    <row r="58" spans="25:53" x14ac:dyDescent="0.15"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</row>
    <row r="59" spans="25:53" x14ac:dyDescent="0.15"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</row>
    <row r="60" spans="25:53" x14ac:dyDescent="0.15"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</row>
    <row r="61" spans="25:53" x14ac:dyDescent="0.15"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</row>
    <row r="62" spans="25:53" x14ac:dyDescent="0.15"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</row>
    <row r="63" spans="25:53" x14ac:dyDescent="0.15"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</row>
    <row r="64" spans="25:53" x14ac:dyDescent="0.15"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</row>
    <row r="65" spans="25:53" x14ac:dyDescent="0.15"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</row>
    <row r="66" spans="25:53" x14ac:dyDescent="0.15"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</row>
    <row r="67" spans="25:53" x14ac:dyDescent="0.15"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</row>
    <row r="68" spans="25:53" x14ac:dyDescent="0.15"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</row>
    <row r="69" spans="25:53" x14ac:dyDescent="0.15"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</row>
    <row r="70" spans="25:53" x14ac:dyDescent="0.15"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</row>
    <row r="71" spans="25:53" x14ac:dyDescent="0.15"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</row>
    <row r="72" spans="25:53" x14ac:dyDescent="0.15"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</row>
    <row r="73" spans="25:53" x14ac:dyDescent="0.15"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</row>
    <row r="74" spans="25:53" x14ac:dyDescent="0.15"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</row>
  </sheetData>
  <sheetProtection algorithmName="SHA-512" hashValue="usiT1eDe5ZWq5dgO3CZArb0oi551RS9SjmsMqwSfEWAusFtKoANyO4+JB4WSF37hwc1hAteINOw/z6QP8DhbZQ==" saltValue="eG+yGfs6RY5L0AlDRyJQ8Q==" spinCount="100000" sheet="1" objects="1" scenarios="1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E4E0-C72E-824C-9236-184D363B619F}">
  <sheetPr codeName="Sheet3">
    <tabColor theme="4" tint="0.39997558519241921"/>
  </sheetPr>
  <dimension ref="A1:BA74"/>
  <sheetViews>
    <sheetView zoomScaleNormal="100" zoomScalePageLayoutView="120" workbookViewId="0">
      <selection activeCell="C14" sqref="C14"/>
    </sheetView>
  </sheetViews>
  <sheetFormatPr baseColWidth="10" defaultRowHeight="14" x14ac:dyDescent="0.15"/>
  <cols>
    <col min="1" max="1" width="20.33203125" style="174" customWidth="1"/>
    <col min="2" max="2" width="13.5" style="174" customWidth="1"/>
    <col min="3" max="9" width="12.1640625" style="174" customWidth="1"/>
    <col min="10" max="11" width="12.1640625" style="174" hidden="1" customWidth="1"/>
    <col min="12" max="18" width="12.1640625" style="174" customWidth="1"/>
    <col min="19" max="20" width="12.1640625" style="174" hidden="1" customWidth="1"/>
    <col min="21" max="24" width="12.1640625" style="174" customWidth="1"/>
    <col min="25" max="53" width="7.5" style="174" customWidth="1"/>
    <col min="54" max="16384" width="10.83203125" style="174"/>
  </cols>
  <sheetData>
    <row r="1" spans="1:53" x14ac:dyDescent="0.15">
      <c r="A1" s="174" t="s">
        <v>149</v>
      </c>
    </row>
    <row r="2" spans="1:53" x14ac:dyDescent="0.15">
      <c r="A2" s="175" t="s">
        <v>48</v>
      </c>
    </row>
    <row r="3" spans="1:53" ht="15" thickBot="1" x14ac:dyDescent="0.2">
      <c r="G3" s="176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4" t="s">
        <v>243</v>
      </c>
      <c r="K7" s="125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126" t="s">
        <v>244</v>
      </c>
      <c r="R7" s="126" t="s">
        <v>245</v>
      </c>
      <c r="S7" s="127" t="s">
        <v>66</v>
      </c>
      <c r="T7" s="127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</row>
    <row r="8" spans="1:53" x14ac:dyDescent="0.15">
      <c r="A8" s="163" t="str">
        <f>'TAS Oct 2019'!K2</f>
        <v>Aurora Energy</v>
      </c>
      <c r="B8" s="164" t="str">
        <f>'TAS Oct 2019'!L2</f>
        <v>Regulated</v>
      </c>
      <c r="C8" s="165">
        <f>IF('TAS Oct 2019'!BP2=0,91*'TAS Oct 2019'!M2/100,(91*'TAS Oct 2019'!M2/100)+'TAS Oct 2019'!BP2/4)</f>
        <v>86.011545454545455</v>
      </c>
      <c r="D8" s="165">
        <f>IF('TAS Oct 2019'!O2="",$C$5*'TAS Oct 2019'!N2/100,IF($C$5&gt;='TAS Oct 2019'!P2,('TAS Oct 2019'!P2*'TAS Oct 2019'!N2/100),($C$5*'TAS Oct 2019'!N2/100)))</f>
        <v>156.99999999999997</v>
      </c>
      <c r="E8" s="165">
        <f>IF(AND('TAS Oct 2019'!P2&gt;0,'TAS Oct 2019'!R2&gt;0),IF($C$5&lt;'TAS Oct 2019'!P2,0,IF($C$5&lt;=('TAS Oct 2019'!R2+'TAS Oct 2019'!P2),(($C$5-'TAS Oct 2019'!P2)*'TAS Oct 2019'!Q2/100),(('TAS Oct 2019'!R2)*'TAS Oct 2019'!Q2/100))),0)</f>
        <v>0</v>
      </c>
      <c r="F8" s="165">
        <f>IF(AND('TAS Oct 2019'!Q2&gt;0,'TAS Oct 2019'!S2&gt;0),IF($C$5&lt;('TAS Oct 2019'!R2+'TAS Oct 2019'!P2),0,IF($C$5&lt;=('TAS Oct 2019'!T2+'TAS Oct 2019'!R2+'TAS Oct 2019'!P2),(($C$5-('TAS Oct 2019'!R2+'TAS Oct 2019'!P2))*'TAS Oct 2019'!S2/100),('TAS Oct 2019'!T2*'TAS Oct 2019'!S2/100))),0)</f>
        <v>0</v>
      </c>
      <c r="G8" s="166">
        <v>0</v>
      </c>
      <c r="H8" s="165">
        <f>IF(AND('TAS Oct 2019'!R2&gt;0,'TAS Oct 2019'!T2&gt;0),IF(($C$5&lt;'TAS Oct 2019'!T2),(0),($C$5-'TAS Oct 2019'!T2)*'TAS Oct 2019'!U2/100),IF(AND('TAS Oct 2019'!R2&gt;0,'TAS Oct 2019'!T2=""),IF(($C$5&lt;'TAS Oct 2019'!R2+'TAS Oct 2019'!P2),(0),(($C$5-('TAS Oct 2019'!R2+'TAS Oct 2019'!P2))*'TAS Oct 2019'!S2/100)),IF(AND('TAS Oct 2019'!P2&gt;0,'TAS Oct 2019'!R2=""&gt;0),IF(($C$5&lt;'TAS Oct 2019'!P2),(0),($C$5-'TAS Oct 2019'!P2)*'TAS Oct 2019'!Q2/100),0)))</f>
        <v>1045.2272727272727</v>
      </c>
      <c r="I8" s="168">
        <f>SUM(C8:H8)</f>
        <v>1288.2388181818183</v>
      </c>
      <c r="J8" s="188">
        <f>(I8-C8)*4</f>
        <v>4808.909090909091</v>
      </c>
      <c r="K8" s="188">
        <f>I8*4</f>
        <v>5152.955272727273</v>
      </c>
      <c r="L8" s="169">
        <f>K8*1.1</f>
        <v>5668.2508000000007</v>
      </c>
      <c r="M8" s="170">
        <f>'TAS Oct 2019'!BB2</f>
        <v>0</v>
      </c>
      <c r="N8" s="170">
        <f>'TAS Oct 2019'!BC2</f>
        <v>0</v>
      </c>
      <c r="O8" s="170">
        <f>'TAS Oct 2019'!BD2</f>
        <v>0</v>
      </c>
      <c r="P8" s="170">
        <f>'TAS Oct 2019'!BE2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" si="0">IF(OR(A8="Origin Energy",A8="Red Energy",A8="Powershop"),"Inclusive","Exclusive")</f>
        <v>Exclusive</v>
      </c>
      <c r="S8" s="19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19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69">
        <f>S8*1.1</f>
        <v>5668.2508000000007</v>
      </c>
      <c r="V8" s="169">
        <f>T8*1.1</f>
        <v>5668.2508000000007</v>
      </c>
      <c r="W8" s="171">
        <f>'TAS Oct 2019'!BL2</f>
        <v>0</v>
      </c>
      <c r="X8" s="172" t="str">
        <f>'TAS Oct 2019'!BM2</f>
        <v>n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</row>
    <row r="9" spans="1:53" ht="15" thickBot="1" x14ac:dyDescent="0.2">
      <c r="A9" s="136" t="str">
        <f>'TAS Oct 2019'!K3</f>
        <v>1st Energy</v>
      </c>
      <c r="B9" s="143" t="str">
        <f>'TAS Oct 2019'!L3</f>
        <v>1st Saver</v>
      </c>
      <c r="C9" s="116">
        <f>IF('TAS Oct 2019'!BP3=0,91*'TAS Oct 2019'!M3/100,(91*'TAS Oct 2019'!M3/100)+'TAS Oct 2019'!BP3/4)</f>
        <v>86.00327272727273</v>
      </c>
      <c r="D9" s="116">
        <f>IF('TAS Oct 2019'!O3="",$C$5*'TAS Oct 2019'!N3/100,IF($C$5&gt;='TAS Oct 2019'!P3,('TAS Oct 2019'!P3*'TAS Oct 2019'!N3/100),($C$5*'TAS Oct 2019'!N3/100)))</f>
        <v>156.99999999999997</v>
      </c>
      <c r="E9" s="116">
        <f>IF(AND('TAS Oct 2019'!P3&gt;0,'TAS Oct 2019'!R3&gt;0),IF($C$5&lt;'TAS Oct 2019'!P3,0,IF($C$5&lt;=('TAS Oct 2019'!R3+'TAS Oct 2019'!P3),(($C$5-'TAS Oct 2019'!P3)*'TAS Oct 2019'!Q3/100),(('TAS Oct 2019'!R3)*'TAS Oct 2019'!Q3/100))),0)</f>
        <v>0</v>
      </c>
      <c r="F9" s="116">
        <f>IF(AND('TAS Oct 2019'!Q3&gt;0,'TAS Oct 2019'!S3&gt;0),IF($C$5&lt;('TAS Oct 2019'!R3+'TAS Oct 2019'!P3),0,IF($C$5&lt;=('TAS Oct 2019'!T3+'TAS Oct 2019'!R3+'TAS Oct 2019'!P3),(($C$5-('TAS Oct 2019'!R3+'TAS Oct 2019'!P3))*'TAS Oct 2019'!S3/100),('TAS Oct 2019'!T3*'TAS Oct 2019'!S3/100))),0)</f>
        <v>0</v>
      </c>
      <c r="G9" s="118">
        <v>0</v>
      </c>
      <c r="H9" s="116">
        <f>IF(AND('TAS Oct 2019'!R3&gt;0,'TAS Oct 2019'!T3&gt;0),IF(($C$5&lt;'TAS Oct 2019'!T3),(0),($C$5-'TAS Oct 2019'!T3)*'TAS Oct 2019'!U3/100),IF(AND('TAS Oct 2019'!R3&gt;0,'TAS Oct 2019'!T3=""),IF(($C$5&lt;'TAS Oct 2019'!R3+'TAS Oct 2019'!P3),(0),(($C$5-('TAS Oct 2019'!R3+'TAS Oct 2019'!P3))*'TAS Oct 2019'!S3/100)),IF(AND('TAS Oct 2019'!P3&gt;0,'TAS Oct 2019'!R3=""&gt;0),IF(($C$5&lt;'TAS Oct 2019'!P3),(0),($C$5-'TAS Oct 2019'!P3)*'TAS Oct 2019'!Q3/100),0)))</f>
        <v>1044.8181818181815</v>
      </c>
      <c r="I9" s="120">
        <f>SUM(C9:H9)</f>
        <v>1287.8214545454543</v>
      </c>
      <c r="J9" s="192">
        <f>(I9-C9)*4</f>
        <v>4807.2727272727261</v>
      </c>
      <c r="K9" s="192">
        <f>I9*4</f>
        <v>5151.2858181818174</v>
      </c>
      <c r="L9" s="121">
        <f>K9*1.1</f>
        <v>5666.4143999999997</v>
      </c>
      <c r="M9" s="115">
        <f>'TAS Oct 2019'!BB3</f>
        <v>0</v>
      </c>
      <c r="N9" s="115">
        <f>'TAS Oct 2019'!BC3</f>
        <v>0</v>
      </c>
      <c r="O9" s="115">
        <f>'TAS Oct 2019'!BD3</f>
        <v>0</v>
      </c>
      <c r="P9" s="115">
        <f>'TAS Oct 2019'!BE3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ref="R9" si="1">IF(OR(A9="Origin Energy",A9="Red Energy",A9="Powershop"),"Inclusive","Exclusive")</f>
        <v>Exclusive</v>
      </c>
      <c r="S9" s="18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18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21">
        <f>S9*1.1</f>
        <v>5666.4143999999997</v>
      </c>
      <c r="V9" s="121">
        <f>T9*1.1</f>
        <v>5402.0144</v>
      </c>
      <c r="W9" s="137">
        <f>'TAS Oct 2019'!BL3</f>
        <v>0</v>
      </c>
      <c r="X9" s="138">
        <f>'TAS Oct 2019'!BM3</f>
        <v>0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1:53" x14ac:dyDescent="0.15"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1:53" ht="15" thickBot="1" x14ac:dyDescent="0.2"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4" t="s">
        <v>243</v>
      </c>
      <c r="K17" s="125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126" t="s">
        <v>244</v>
      </c>
      <c r="R17" s="126" t="s">
        <v>245</v>
      </c>
      <c r="S17" s="127" t="s">
        <v>66</v>
      </c>
      <c r="T17" s="127" t="s">
        <v>67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1:53" x14ac:dyDescent="0.15">
      <c r="A18" s="163" t="str">
        <f>'TAS Oct 2019'!K4</f>
        <v>Aurora Energy</v>
      </c>
      <c r="B18" s="164" t="str">
        <f>'TAS Oct 2019'!L4</f>
        <v>Regulated</v>
      </c>
      <c r="C18" s="165">
        <f>IF('TAS Oct 2019'!BP4=0,91*'TAS Oct 2019'!M4/100,(91*'TAS Oct 2019'!M4/100)+'TAS Oct 2019'!BP4/4)</f>
        <v>101.42859999999999</v>
      </c>
      <c r="D18" s="165">
        <f>IF('TAS Oct 2019'!O4="",$C$13*$C$14*'TAS Oct 2019'!N4/100,IF($C$13*$C$14&gt;='TAS Oct 2019'!P4,('TAS Oct 2019'!P4*'TAS Oct 2019'!N4/100),($C$13*$C$14*'TAS Oct 2019'!N4/100)))</f>
        <v>156.99999999999997</v>
      </c>
      <c r="E18" s="165">
        <f>IF(AND('TAS Oct 2019'!P4&gt;0,'TAS Oct 2019'!R4&gt;0),IF($C$13*$C$14&lt;'TAS Oct 2019'!P4,0,IF($C$13*$C$14&lt;=('TAS Oct 2019'!R4+'TAS Oct 2019'!P4),(($C$13*$C$14-'TAS Oct 2019'!P4)*'TAS Oct 2019'!Q4/100),(('TAS Oct 2019'!R4)*'TAS Oct 2019'!Q4/100))),0)</f>
        <v>0</v>
      </c>
      <c r="F18" s="165">
        <f>IF(AND('TAS Oct 2019'!Q2&gt;0,'TAS Oct 2019'!S2&gt;0),IF($C$13*$C$14&lt;('TAS Oct 2019'!R2+'TAS Oct 2019'!P2),0,IF($C$13*$C$14&lt;=('TAS Oct 2019'!T2+'TAS Oct 2019'!R2+'TAS Oct 2019'!P2),(($C$13*$C$14-('TAS Oct 2019'!R2+'TAS Oct 2019'!P2))*'TAS Oct 2019'!S2/100),('TAS Oct 2019'!T2*'TAS Oct 2019'!S2/100))),0)</f>
        <v>0</v>
      </c>
      <c r="G18" s="165">
        <f>IF(AND('TAS Oct 2019'!R4&gt;0,'TAS Oct 2019'!T4&gt;0),IF(($C$13*$C$14&lt;'TAS Oct 2019'!T4),(0),($C$13*$C$14-'TAS Oct 2019'!T4)*'TAS Oct 2019'!U4/100),IF(AND('TAS Oct 2019'!R4&gt;0,'TAS Oct 2019'!T4=""),IF(($C$13*$C$14&lt;'TAS Oct 2019'!R4+'TAS Oct 2019'!P4),(0),(($C$13*$C$14-('TAS Oct 2019'!R4+'TAS Oct 2019'!P4))*'TAS Oct 2019'!S4/100)),IF(AND('TAS Oct 2019'!P4&gt;0,'TAS Oct 2019'!R4=""&gt;0),IF(($C$13*$C$14&lt;'TAS Oct 2019'!P4),(0),($C$13*$C$14-'TAS Oct 2019'!P4)*'TAS Oct 2019'!Q4/100),0)))</f>
        <v>696.9</v>
      </c>
      <c r="H18" s="167">
        <f>($C$13*$C$15)*'TAS Oct 2019'!AF4/100</f>
        <v>223.05</v>
      </c>
      <c r="I18" s="168">
        <f>SUM(C18:H18)</f>
        <v>1178.3786</v>
      </c>
      <c r="J18" s="188">
        <f>(I18-C18)*4</f>
        <v>4307.8</v>
      </c>
      <c r="K18" s="188">
        <f>I18*4</f>
        <v>4713.5144</v>
      </c>
      <c r="L18" s="169">
        <f>K18*1.1</f>
        <v>5184.8658400000004</v>
      </c>
      <c r="M18" s="170">
        <f>'TAS Oct 2019'!BB4</f>
        <v>0</v>
      </c>
      <c r="N18" s="170">
        <f>'TAS Oct 2019'!BC4</f>
        <v>0</v>
      </c>
      <c r="O18" s="170">
        <f>'TAS Oct 2019'!BD4</f>
        <v>0</v>
      </c>
      <c r="P18" s="170">
        <f>'TAS Oct 2019'!BE4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2">IF(OR(A18="Origin Energy",A18="Red Energy",A18="Powershop"),"Inclusive","Exclusive")</f>
        <v>Exclusive</v>
      </c>
      <c r="S18" s="19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19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69">
        <f t="shared" ref="U18:U19" si="3">IF(R18="Exclusive",S18*1.1,S18)</f>
        <v>5184.8658400000004</v>
      </c>
      <c r="V18" s="169">
        <f t="shared" ref="V18:V19" si="4">IF(R18="Exclusive",T18*1.1,T18)</f>
        <v>5184.8658400000004</v>
      </c>
      <c r="W18" s="171">
        <f>'TAS Oct 2019'!BL4</f>
        <v>0</v>
      </c>
      <c r="X18" s="172" t="str">
        <f>'TAS Oct 2019'!BM4</f>
        <v>n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1:53" ht="15" thickBot="1" x14ac:dyDescent="0.2">
      <c r="A19" s="136" t="str">
        <f>'TAS Oct 2019'!K5</f>
        <v>1st Energy</v>
      </c>
      <c r="B19" s="143" t="str">
        <f>'TAS Oct 2019'!L5</f>
        <v>1st Saver</v>
      </c>
      <c r="C19" s="116">
        <f>IF('TAS Oct 2019'!BP5=0,91*'TAS Oct 2019'!M5/100,(91*'TAS Oct 2019'!M5/100)+'TAS Oct 2019'!BP5/4)</f>
        <v>101.41536363636364</v>
      </c>
      <c r="D19" s="116">
        <f>IF('TAS Oct 2019'!O5="",$C$13*$C$14*'TAS Oct 2019'!N5/100,IF($C$13*$C$14&gt;='TAS Oct 2019'!P5,('TAS Oct 2019'!P5*'TAS Oct 2019'!N5/100),($C$13*$C$14*'TAS Oct 2019'!N5/100)))</f>
        <v>156.99999999999997</v>
      </c>
      <c r="E19" s="116">
        <f>IF(AND('TAS Oct 2019'!P5&gt;0,'TAS Oct 2019'!R5&gt;0),IF($C$13*$C$14&lt;'TAS Oct 2019'!P5,0,IF($C$13*$C$14&lt;=('TAS Oct 2019'!R5+'TAS Oct 2019'!P5),(($C$13*$C$14-'TAS Oct 2019'!P5)*'TAS Oct 2019'!Q5/100),(('TAS Oct 2019'!R5)*'TAS Oct 2019'!Q5/100))),0)</f>
        <v>0</v>
      </c>
      <c r="F19" s="116">
        <f>IF(AND('TAS Oct 2019'!Q3&gt;0,'TAS Oct 2019'!S3&gt;0),IF($C$13*$C$14&lt;('TAS Oct 2019'!R3+'TAS Oct 2019'!P3),0,IF($C$13*$C$14&lt;=('TAS Oct 2019'!T3+'TAS Oct 2019'!R3+'TAS Oct 2019'!P3),(($C$13*$C$14-('TAS Oct 2019'!R3+'TAS Oct 2019'!P3))*'TAS Oct 2019'!S3/100),('TAS Oct 2019'!T3*'TAS Oct 2019'!S3/100))),0)</f>
        <v>0</v>
      </c>
      <c r="G19" s="116">
        <f>IF(AND('TAS Oct 2019'!R5&gt;0,'TAS Oct 2019'!T5&gt;0),IF(($C$13*$C$14&lt;'TAS Oct 2019'!T5),(0),($C$13*$C$14-'TAS Oct 2019'!T5)*'TAS Oct 2019'!U5/100),IF(AND('TAS Oct 2019'!R5&gt;0,'TAS Oct 2019'!T5=""),IF(($C$13*$C$14&lt;'TAS Oct 2019'!R5+'TAS Oct 2019'!P5),(0),(($C$13*$C$14-('TAS Oct 2019'!R5+'TAS Oct 2019'!P5))*'TAS Oct 2019'!S5/100)),IF(AND('TAS Oct 2019'!P5&gt;0,'TAS Oct 2019'!R5=""&gt;0),IF(($C$13*$C$14&lt;'TAS Oct 2019'!P5),(0),($C$13*$C$14-'TAS Oct 2019'!P5)*'TAS Oct 2019'!Q5/100),0)))</f>
        <v>696.54545454545439</v>
      </c>
      <c r="H19" s="119">
        <f>($C$13*$C$15)*'TAS Oct 2019'!AF5/100</f>
        <v>223.09090909090909</v>
      </c>
      <c r="I19" s="120">
        <f>SUM(C19:H19)</f>
        <v>1178.051727272727</v>
      </c>
      <c r="J19" s="192">
        <f>(I19-C19)*4</f>
        <v>4306.5454545454531</v>
      </c>
      <c r="K19" s="192">
        <f>I19*4</f>
        <v>4712.2069090909081</v>
      </c>
      <c r="L19" s="121">
        <f>K19*1.1</f>
        <v>5183.4275999999991</v>
      </c>
      <c r="M19" s="115">
        <f>'TAS Oct 2019'!BB5</f>
        <v>0</v>
      </c>
      <c r="N19" s="115">
        <f>'TAS Oct 2019'!BC5</f>
        <v>0</v>
      </c>
      <c r="O19" s="115">
        <f>'TAS Oct 2019'!BD5</f>
        <v>0</v>
      </c>
      <c r="P19" s="115">
        <f>'TAS Oct 2019'!BE5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2"/>
        <v>Exclusive</v>
      </c>
      <c r="S19" s="18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18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21">
        <f t="shared" si="3"/>
        <v>5183.4275999999991</v>
      </c>
      <c r="V19" s="121">
        <f t="shared" si="4"/>
        <v>4946.5675999999994</v>
      </c>
      <c r="W19" s="137">
        <f>'TAS Oct 2019'!BL5</f>
        <v>0</v>
      </c>
      <c r="X19" s="138">
        <f>'TAS Oct 2019'!BM5</f>
        <v>0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1:53" x14ac:dyDescent="0.15"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1:53" ht="15" thickBot="1" x14ac:dyDescent="0.2">
      <c r="S21" s="176"/>
      <c r="U21" s="176"/>
      <c r="V21" s="176"/>
      <c r="W21" s="176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4" t="s">
        <v>243</v>
      </c>
      <c r="K28" s="125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126" t="s">
        <v>244</v>
      </c>
      <c r="R28" s="126" t="s">
        <v>245</v>
      </c>
      <c r="S28" s="127" t="s">
        <v>66</v>
      </c>
      <c r="T28" s="127" t="s">
        <v>67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</row>
    <row r="29" spans="1:53" x14ac:dyDescent="0.15">
      <c r="A29" s="163" t="str">
        <f>'TAS Oct 2019'!K6</f>
        <v>Aurora Energy</v>
      </c>
      <c r="B29" s="164" t="str">
        <f>'TAS Oct 2019'!L6</f>
        <v>Regulated</v>
      </c>
      <c r="C29" s="165">
        <f>IF('TAS Oct 2019'!BP6=0,91*'TAS Oct 2019'!M6/100,(91*'TAS Oct 2019'!M6/100)+'TAS Oct 2019'!BP6/4)</f>
        <v>93.159181818181807</v>
      </c>
      <c r="D29" s="165">
        <f>IF('TAS Oct 2019'!O6="",$C$23*$C$24*'TAS Oct 2019'!N6/100,IF($C$23*$C$24&gt;='TAS Oct 2019'!P6,('TAS Oct 2019'!P6*'TAS Oct 2019'!N6/100),($C$23*$C$24*'TAS Oct 2019'!N6/100)))</f>
        <v>388.22727272727275</v>
      </c>
      <c r="E29" s="165">
        <f>IF(AND('TAS Oct 2019'!P6&gt;0,'TAS Oct 2019'!R6&gt;0),IF($C$23*$C$24&lt;'TAS Oct 2019'!P6,0,IF($C$23*$C$24&lt;=('TAS Oct 2019'!R6+'TAS Oct 2019'!P6),(($C$23*$C$24-'TAS Oct 2019'!P6)*'TAS Oct 2019'!Q6/100),(('TAS Oct 2019'!R6)*'TAS Oct 2019'!Q6/100))),0)</f>
        <v>0</v>
      </c>
      <c r="F29" s="165">
        <f>IF(AND('TAS Oct 2019'!R6&gt;0,'TAS Oct 2019'!T6&gt;0),IF(($C$23*$C$24&lt;'TAS Oct 2019'!T6),(0),($C$23*$C$244-'TAS Oct 2019'!T6)*'TAS Oct 2019'!U6/100),IF(AND('TAS Oct 2019'!R6&gt;0,'TAS Oct 2019'!T6=""),IF(($C$23*$C$24&lt;'TAS Oct 2019'!R6+'TAS Oct 2019'!P6),(0),(($C$23*$C$24-('TAS Oct 2019'!R6+'TAS Oct 2019'!P6))*'TAS Oct 2019'!S6/100)),IF(AND('TAS Oct 2019'!P6&gt;0,'TAS Oct 2019'!R6=""&gt;0),IF(($C$23*$C$24&lt;'TAS Oct 2019'!P6),(0),($C$23*$C$24-'TAS Oct 2019'!P6)*'TAS Oct 2019'!Q6/100),0)))</f>
        <v>0</v>
      </c>
      <c r="G29" s="166">
        <f>($C$23*$C$25)*'TAS Oct 2019'!AI6/100</f>
        <v>373.45454545454544</v>
      </c>
      <c r="H29" s="167">
        <f>($C$23*$C$26)*'TAS Oct 2019'!W6/100</f>
        <v>163.90909090909088</v>
      </c>
      <c r="I29" s="168">
        <f>SUM(C29:H29)</f>
        <v>1018.7500909090909</v>
      </c>
      <c r="J29" s="188">
        <f>(I29-C29)*4</f>
        <v>3702.3636363636365</v>
      </c>
      <c r="K29" s="188">
        <f>I29*4</f>
        <v>4075.0003636363635</v>
      </c>
      <c r="L29" s="169">
        <f>K29*1.1</f>
        <v>4482.5003999999999</v>
      </c>
      <c r="M29" s="170">
        <f>'TAS Oct 2019'!BB6</f>
        <v>0</v>
      </c>
      <c r="N29" s="170">
        <f>'TAS Oct 2019'!BC6</f>
        <v>0</v>
      </c>
      <c r="O29" s="170">
        <f>'TAS Oct 2019'!BD6</f>
        <v>0</v>
      </c>
      <c r="P29" s="170">
        <f>'TAS Oct 2019'!BE6</f>
        <v>0</v>
      </c>
      <c r="Q29" s="170" t="str">
        <f>IF(SUM(M29:P29)=0,"No discount",IF(M29&gt;0,"Guaranteed off bill",IF(N29&gt;0,"Guaranteed off usage",IF(O29&gt;0,"Pay-on-time off bill","Pay-on-time off usage"))))</f>
        <v>No discount</v>
      </c>
      <c r="R29" s="170" t="str">
        <f t="shared" ref="R29:R30" si="5">IF(OR(A29="Origin Energy",A29="Red Energy",A29="Powershop"),"Inclusive","Exclusive")</f>
        <v>Exclusive</v>
      </c>
      <c r="S29" s="190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191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69">
        <f t="shared" ref="U29:U30" si="6">IF(R29="Exclusive",S29*1.1,S29)</f>
        <v>4482.5003999999999</v>
      </c>
      <c r="V29" s="169">
        <f t="shared" ref="V29:V30" si="7">IF(R29="Exclusive",T29*1.1,T29)</f>
        <v>4482.5003999999999</v>
      </c>
      <c r="W29" s="171">
        <f>'TAS Oct 2019'!BL6</f>
        <v>0</v>
      </c>
      <c r="X29" s="172" t="str">
        <f>'TAS Oct 2019'!BM6</f>
        <v>n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</row>
    <row r="30" spans="1:53" ht="15" thickBot="1" x14ac:dyDescent="0.2">
      <c r="A30" s="136" t="str">
        <f>'TAS Oct 2019'!K7</f>
        <v>1st Energy</v>
      </c>
      <c r="B30" s="143" t="str">
        <f>'TAS Oct 2019'!L7</f>
        <v>1st Saver</v>
      </c>
      <c r="C30" s="116">
        <f>IF('TAS Oct 2019'!BP7=0,91*'TAS Oct 2019'!M7/100,(91*'TAS Oct 2019'!M7/100)+'TAS Oct 2019'!BP7/4)</f>
        <v>93.159181818181807</v>
      </c>
      <c r="D30" s="116">
        <f>IF('TAS Oct 2019'!O7="",$C$23*$C$24*'TAS Oct 2019'!N7/100,IF($C$23*$C$24&gt;='TAS Oct 2019'!P7,('TAS Oct 2019'!P7*'TAS Oct 2019'!N7/100),($C$23*$C$24*'TAS Oct 2019'!N7/100)))</f>
        <v>387.54545454545456</v>
      </c>
      <c r="E30" s="116">
        <f>IF(AND('TAS Oct 2019'!P7&gt;0,'TAS Oct 2019'!R7&gt;0),IF($C$23*$C$24&lt;'TAS Oct 2019'!P7,0,IF($C$23*$C$24&lt;=('TAS Oct 2019'!R7+'TAS Oct 2019'!P7),(($C$23*$C$24-'TAS Oct 2019'!P7)*'TAS Oct 2019'!Q7/100),(('TAS Oct 2019'!R7)*'TAS Oct 2019'!Q7/100))),0)</f>
        <v>0</v>
      </c>
      <c r="F30" s="116">
        <f>IF(AND('TAS Oct 2019'!R7&gt;0,'TAS Oct 2019'!T7&gt;0),IF(($C$23*$C$24&lt;'TAS Oct 2019'!T7),(0),($C$23*$C$244-'TAS Oct 2019'!T7)*'TAS Oct 2019'!U7/100),IF(AND('TAS Oct 2019'!R7&gt;0,'TAS Oct 2019'!T7=""),IF(($C$23*$C$24&lt;'TAS Oct 2019'!R7+'TAS Oct 2019'!P7),(0),(($C$23*$C$24-('TAS Oct 2019'!R7+'TAS Oct 2019'!P7))*'TAS Oct 2019'!S7/100)),IF(AND('TAS Oct 2019'!P7&gt;0,'TAS Oct 2019'!R7=""&gt;0),IF(($C$23*$C$24&lt;'TAS Oct 2019'!P7),(0),($C$23*$C$24-'TAS Oct 2019'!P7)*'TAS Oct 2019'!Q7/100),0)))</f>
        <v>0</v>
      </c>
      <c r="G30" s="118">
        <f>($C$23*$C$25)*'TAS Oct 2019'!AI7/100</f>
        <v>366.2</v>
      </c>
      <c r="H30" s="119">
        <f>($C$23*$C$26)*'TAS Oct 2019'!W7/100</f>
        <v>163.77272727272725</v>
      </c>
      <c r="I30" s="120">
        <f>SUM(C30:H30)</f>
        <v>1010.6773636363637</v>
      </c>
      <c r="J30" s="192">
        <f>(I30-C30)*4</f>
        <v>3670.0727272727277</v>
      </c>
      <c r="K30" s="192">
        <f>I30*4</f>
        <v>4042.7094545454547</v>
      </c>
      <c r="L30" s="121">
        <f>K30*1.1</f>
        <v>4446.9804000000004</v>
      </c>
      <c r="M30" s="115">
        <f>'TAS Oct 2019'!BB7</f>
        <v>0</v>
      </c>
      <c r="N30" s="115">
        <f>'TAS Oct 2019'!BC7</f>
        <v>0</v>
      </c>
      <c r="O30" s="115">
        <f>'TAS Oct 2019'!BD7</f>
        <v>0</v>
      </c>
      <c r="P30" s="115">
        <f>'TAS Oct 2019'!BE7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15" t="str">
        <f t="shared" si="5"/>
        <v>Exclusive</v>
      </c>
      <c r="S30" s="186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18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21">
        <f t="shared" si="6"/>
        <v>4446.9804000000004</v>
      </c>
      <c r="V30" s="121">
        <f t="shared" si="7"/>
        <v>4245.1264000000001</v>
      </c>
      <c r="W30" s="137">
        <f>'TAS Oct 2019'!BL7</f>
        <v>0</v>
      </c>
      <c r="X30" s="138">
        <f>'TAS Oct 2019'!BM7</f>
        <v>0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</row>
    <row r="31" spans="1:53" x14ac:dyDescent="0.15"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</row>
    <row r="32" spans="1:53" x14ac:dyDescent="0.15"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</row>
    <row r="33" spans="25:53" x14ac:dyDescent="0.15"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</row>
    <row r="34" spans="25:53" x14ac:dyDescent="0.15"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</row>
    <row r="35" spans="25:53" x14ac:dyDescent="0.15"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</row>
    <row r="36" spans="25:53" x14ac:dyDescent="0.15"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</row>
    <row r="37" spans="25:53" x14ac:dyDescent="0.15"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</row>
    <row r="38" spans="25:53" x14ac:dyDescent="0.15"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</row>
    <row r="39" spans="25:53" x14ac:dyDescent="0.15"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</row>
    <row r="40" spans="25:53" x14ac:dyDescent="0.15"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</row>
    <row r="41" spans="25:53" x14ac:dyDescent="0.15"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</row>
    <row r="42" spans="25:53" x14ac:dyDescent="0.15"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</row>
    <row r="43" spans="25:53" x14ac:dyDescent="0.15"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</row>
    <row r="44" spans="25:53" x14ac:dyDescent="0.15"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</row>
    <row r="45" spans="25:53" x14ac:dyDescent="0.15"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</row>
    <row r="46" spans="25:53" x14ac:dyDescent="0.15"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</row>
    <row r="47" spans="25:53" x14ac:dyDescent="0.15"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</row>
    <row r="48" spans="25:53" x14ac:dyDescent="0.15"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</row>
    <row r="49" spans="25:53" x14ac:dyDescent="0.15"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</row>
    <row r="50" spans="25:53" x14ac:dyDescent="0.15"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</row>
    <row r="51" spans="25:53" x14ac:dyDescent="0.15"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</row>
    <row r="52" spans="25:53" x14ac:dyDescent="0.15"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</row>
    <row r="53" spans="25:53" x14ac:dyDescent="0.15"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</row>
    <row r="54" spans="25:53" x14ac:dyDescent="0.15"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</row>
    <row r="55" spans="25:53" x14ac:dyDescent="0.15"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</row>
    <row r="56" spans="25:53" x14ac:dyDescent="0.15"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25:53" x14ac:dyDescent="0.15"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</row>
    <row r="58" spans="25:53" x14ac:dyDescent="0.15"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</row>
    <row r="59" spans="25:53" x14ac:dyDescent="0.15"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</row>
    <row r="60" spans="25:53" x14ac:dyDescent="0.15"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</row>
    <row r="61" spans="25:53" x14ac:dyDescent="0.15"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</row>
    <row r="62" spans="25:53" x14ac:dyDescent="0.15"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</row>
    <row r="63" spans="25:53" x14ac:dyDescent="0.15"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</row>
    <row r="64" spans="25:53" x14ac:dyDescent="0.15"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</row>
    <row r="65" spans="25:53" x14ac:dyDescent="0.15"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</row>
    <row r="66" spans="25:53" x14ac:dyDescent="0.15"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</row>
    <row r="67" spans="25:53" x14ac:dyDescent="0.15"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</row>
    <row r="68" spans="25:53" x14ac:dyDescent="0.15"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</row>
    <row r="69" spans="25:53" x14ac:dyDescent="0.15"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</row>
    <row r="70" spans="25:53" x14ac:dyDescent="0.15"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</row>
    <row r="71" spans="25:53" x14ac:dyDescent="0.15"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</row>
    <row r="72" spans="25:53" x14ac:dyDescent="0.15"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</row>
    <row r="73" spans="25:53" x14ac:dyDescent="0.15"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</row>
    <row r="74" spans="25:53" x14ac:dyDescent="0.15"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</row>
  </sheetData>
  <sheetProtection algorithmName="SHA-512" hashValue="FEjTRCQAqJH8qw/oAW6wqUVa8GE3v/U5+iMgHYD/+xB391M0iN4/8P2WOZ72taFGL6luWlpfBD7NuCc9qZcJAg==" saltValue="5EwRtGKAPYzdpQ9N5DdJvQ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659D-AEBE-A546-8DC6-399D56C0F743}">
  <sheetPr codeName="Sheet4">
    <tabColor rgb="FFFFA9A6"/>
  </sheetPr>
  <dimension ref="A1:BA74"/>
  <sheetViews>
    <sheetView zoomScaleNormal="100" zoomScalePageLayoutView="120" workbookViewId="0">
      <selection activeCell="D37" sqref="D37"/>
    </sheetView>
  </sheetViews>
  <sheetFormatPr baseColWidth="10" defaultRowHeight="14" x14ac:dyDescent="0.15"/>
  <cols>
    <col min="1" max="1" width="20.33203125" style="157" customWidth="1"/>
    <col min="2" max="2" width="14.83203125" style="157" customWidth="1"/>
    <col min="3" max="9" width="12.1640625" style="157" customWidth="1"/>
    <col min="10" max="11" width="12.1640625" style="157" hidden="1" customWidth="1"/>
    <col min="12" max="18" width="12.1640625" style="157" customWidth="1"/>
    <col min="19" max="20" width="12.1640625" style="157" hidden="1" customWidth="1"/>
    <col min="21" max="24" width="12.1640625" style="157" customWidth="1"/>
    <col min="25" max="53" width="7.5" style="157" customWidth="1"/>
    <col min="54" max="16384" width="10.83203125" style="157"/>
  </cols>
  <sheetData>
    <row r="1" spans="1:53" x14ac:dyDescent="0.15">
      <c r="A1" s="157" t="s">
        <v>149</v>
      </c>
    </row>
    <row r="2" spans="1:53" x14ac:dyDescent="0.15">
      <c r="A2" s="158" t="s">
        <v>48</v>
      </c>
    </row>
    <row r="3" spans="1:53" ht="15" thickBot="1" x14ac:dyDescent="0.2">
      <c r="G3" s="159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4" t="s">
        <v>243</v>
      </c>
      <c r="K7" s="125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126" t="s">
        <v>244</v>
      </c>
      <c r="R7" s="126" t="s">
        <v>245</v>
      </c>
      <c r="S7" s="127" t="s">
        <v>247</v>
      </c>
      <c r="T7" s="127" t="s">
        <v>248</v>
      </c>
      <c r="U7" s="127" t="s">
        <v>25</v>
      </c>
      <c r="V7" s="127" t="s">
        <v>26</v>
      </c>
      <c r="W7" s="126" t="s">
        <v>68</v>
      </c>
      <c r="X7" s="128" t="s">
        <v>95</v>
      </c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</row>
    <row r="8" spans="1:53" x14ac:dyDescent="0.15">
      <c r="A8" s="163" t="str">
        <f>'TAS Apr 2019'!K2</f>
        <v>Aurora Energy</v>
      </c>
      <c r="B8" s="164" t="str">
        <f>'TAS Apr 2019'!L2</f>
        <v>Regulated</v>
      </c>
      <c r="C8" s="165">
        <f>IF('TAS Apr 2019'!BP2=0,91*'TAS Apr 2019'!M2/100,(91*'TAS Apr 2019'!M2/100)+'TAS Apr 2019'!BP2/4)</f>
        <v>84.320599999999999</v>
      </c>
      <c r="D8" s="165">
        <f>IF('TAS Apr 2019'!O2="",$C$5*'TAS Apr 2019'!N2/100,IF($C$5&gt;='TAS Apr 2019'!P2,('TAS Apr 2019'!P2*'TAS Apr 2019'!N2/100),($C$5*'TAS Apr 2019'!N2/100)))</f>
        <v>153.92500000000001</v>
      </c>
      <c r="E8" s="165">
        <f>IF(AND('TAS Apr 2019'!P2&gt;0,'TAS Apr 2019'!R2&gt;0),IF($C$5&lt;'TAS Apr 2019'!P2,0,IF($C$5&lt;=('TAS Apr 2019'!R2+'TAS Apr 2019'!P2),(($C$5-'TAS Apr 2019'!P2)*'TAS Apr 2019'!Q2/100),(('TAS Apr 2019'!R2)*'TAS Apr 2019'!Q2/100))),0)</f>
        <v>0</v>
      </c>
      <c r="F8" s="165">
        <f>IF(AND('TAS Apr 2019'!Q2&gt;0,'TAS Apr 2019'!S2&gt;0),IF($C$5&lt;('TAS Apr 2019'!R2+'TAS Apr 2019'!P2),0,IF($C$5&lt;=('TAS Apr 2019'!T2+'TAS Apr 2019'!R2+'TAS Apr 2019'!P2),(($C$5-('TAS Apr 2019'!R2+'TAS Apr 2019'!P2))*'TAS Apr 2019'!S2/100),('TAS Apr 2019'!T2*'TAS Apr 2019'!S2/100))),0)</f>
        <v>0</v>
      </c>
      <c r="G8" s="166">
        <v>0</v>
      </c>
      <c r="H8" s="165">
        <f>IF(AND('TAS Apr 2019'!R2&gt;0,'TAS Apr 2019'!T2&gt;0),IF(($C$5&lt;'TAS Apr 2019'!T2),(0),($C$5-'TAS Apr 2019'!T2)*'TAS Apr 2019'!U2/100),IF(AND('TAS Apr 2019'!R2&gt;0,'TAS Apr 2019'!T2=""),IF(($C$5&lt;'TAS Apr 2019'!R2+'TAS Apr 2019'!P2),(0),(($C$5-('TAS Apr 2019'!R2+'TAS Apr 2019'!P2))*'TAS Apr 2019'!S2/100)),IF(AND('TAS Apr 2019'!P2&gt;0,'TAS Apr 2019'!R2=""&gt;0),IF(($C$5&lt;'TAS Apr 2019'!P2),(0),($C$5-'TAS Apr 2019'!P2)*'TAS Apr 2019'!Q2/100),0)))</f>
        <v>1024.83</v>
      </c>
      <c r="I8" s="168">
        <f>SUM(C8:H8)</f>
        <v>1263.0755999999999</v>
      </c>
      <c r="J8" s="188">
        <f>(I8-C8)*4</f>
        <v>4715.0199999999995</v>
      </c>
      <c r="K8" s="188">
        <f>I8*4</f>
        <v>5052.3023999999996</v>
      </c>
      <c r="L8" s="169">
        <f>K8*1.1</f>
        <v>5557.5326400000004</v>
      </c>
      <c r="M8" s="170">
        <f>'TAS Apr 2019'!BB2</f>
        <v>0</v>
      </c>
      <c r="N8" s="170">
        <f>'TAS Apr 2019'!BC2</f>
        <v>0</v>
      </c>
      <c r="O8" s="170">
        <f>'TAS Apr 2019'!BD2</f>
        <v>0</v>
      </c>
      <c r="P8" s="170">
        <f>'TAS Apr 2019'!BE2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19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5052.3023999999996</v>
      </c>
      <c r="T8" s="19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5052.3023999999996</v>
      </c>
      <c r="U8" s="169">
        <f>S8*1.1</f>
        <v>5557.5326400000004</v>
      </c>
      <c r="V8" s="169">
        <f>T8*1.1</f>
        <v>5557.5326400000004</v>
      </c>
      <c r="W8" s="171">
        <f>'TAS Apr 2019'!BL2</f>
        <v>0</v>
      </c>
      <c r="X8" s="172" t="str">
        <f>'TAS Apr 2019'!BM2</f>
        <v>n</v>
      </c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</row>
    <row r="9" spans="1:53" ht="15" thickBot="1" x14ac:dyDescent="0.2">
      <c r="A9" s="136" t="str">
        <f>'TAS Apr 2019'!K3</f>
        <v>1st Energy</v>
      </c>
      <c r="B9" s="143" t="str">
        <f>'TAS Apr 2019'!L3</f>
        <v>1st Saver</v>
      </c>
      <c r="C9" s="116">
        <f>IF('TAS Apr 2019'!BP3=0,91*'TAS Apr 2019'!M3/100,(91*'TAS Apr 2019'!M3/100)+'TAS Apr 2019'!BP3/4)</f>
        <v>84.320599999999999</v>
      </c>
      <c r="D9" s="116">
        <f>IF('TAS Apr 2019'!O3="",$C$5*'TAS Apr 2019'!N3/100,IF($C$5&gt;='TAS Apr 2019'!P3,('TAS Apr 2019'!P3*'TAS Apr 2019'!N3/100),($C$5*'TAS Apr 2019'!N3/100)))</f>
        <v>153.9</v>
      </c>
      <c r="E9" s="116">
        <f>IF(AND('TAS Apr 2019'!P3&gt;0,'TAS Apr 2019'!R3&gt;0),IF($C$5&lt;'TAS Apr 2019'!P3,0,IF($C$5&lt;=('TAS Apr 2019'!R3+'TAS Apr 2019'!P3),(($C$5-'TAS Apr 2019'!P3)*'TAS Apr 2019'!Q3/100),(('TAS Apr 2019'!R3)*'TAS Apr 2019'!Q3/100))),0)</f>
        <v>0</v>
      </c>
      <c r="F9" s="116">
        <f>IF(AND('TAS Apr 2019'!Q3&gt;0,'TAS Apr 2019'!S3&gt;0),IF($C$5&lt;('TAS Apr 2019'!R3+'TAS Apr 2019'!P3),0,IF($C$5&lt;=('TAS Apr 2019'!T3+'TAS Apr 2019'!R3+'TAS Apr 2019'!P3),(($C$5-('TAS Apr 2019'!R3+'TAS Apr 2019'!P3))*'TAS Apr 2019'!S3/100),('TAS Apr 2019'!T3*'TAS Apr 2019'!S3/100))),0)</f>
        <v>0</v>
      </c>
      <c r="G9" s="118">
        <v>0</v>
      </c>
      <c r="H9" s="116">
        <f>IF(AND('TAS Apr 2019'!R3&gt;0,'TAS Apr 2019'!T3&gt;0),IF(($C$5&lt;'TAS Apr 2019'!T3),(0),($C$5-'TAS Apr 2019'!T3)*'TAS Apr 2019'!U3/100),IF(AND('TAS Apr 2019'!R3&gt;0,'TAS Apr 2019'!T3=""),IF(($C$5&lt;'TAS Apr 2019'!R3+'TAS Apr 2019'!P3),(0),(($C$5-('TAS Apr 2019'!R3+'TAS Apr 2019'!P3))*'TAS Apr 2019'!S3/100)),IF(AND('TAS Apr 2019'!P3&gt;0,'TAS Apr 2019'!R3=""&gt;0),IF(($C$5&lt;'TAS Apr 2019'!P3),(0),($C$5-'TAS Apr 2019'!P3)*'TAS Apr 2019'!Q3/100),0)))</f>
        <v>1024.6500000000001</v>
      </c>
      <c r="I9" s="120">
        <f>SUM(C9:H9)</f>
        <v>1262.8706000000002</v>
      </c>
      <c r="J9" s="192">
        <f>(I9-C9)*4</f>
        <v>4714.2000000000007</v>
      </c>
      <c r="K9" s="192">
        <f>I9*4</f>
        <v>5051.4824000000008</v>
      </c>
      <c r="L9" s="121">
        <f>K9*1.1</f>
        <v>5556.6306400000012</v>
      </c>
      <c r="M9" s="115">
        <f>'TAS Apr 2019'!BB3</f>
        <v>0</v>
      </c>
      <c r="N9" s="115">
        <f>'TAS Apr 2019'!BC3</f>
        <v>0</v>
      </c>
      <c r="O9" s="115">
        <f>'TAS Apr 2019'!BD3</f>
        <v>0</v>
      </c>
      <c r="P9" s="115">
        <f>'TAS Apr 2019'!BE3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si="0"/>
        <v>Exclusive</v>
      </c>
      <c r="S9" s="18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5051.4824000000008</v>
      </c>
      <c r="T9" s="18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4815.7724000000007</v>
      </c>
      <c r="U9" s="121">
        <f>S9*1.1</f>
        <v>5556.6306400000012</v>
      </c>
      <c r="V9" s="121">
        <f>T9*1.1</f>
        <v>5297.3496400000013</v>
      </c>
      <c r="W9" s="137">
        <f>'TAS Apr 2019'!BL3</f>
        <v>0</v>
      </c>
      <c r="X9" s="138" t="str">
        <f>'TAS Apr 2019'!BM3</f>
        <v>n</v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</row>
    <row r="10" spans="1:53" x14ac:dyDescent="0.15"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</row>
    <row r="11" spans="1:53" ht="15" thickBot="1" x14ac:dyDescent="0.2"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4" t="s">
        <v>243</v>
      </c>
      <c r="K17" s="125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126" t="s">
        <v>244</v>
      </c>
      <c r="R17" s="126" t="s">
        <v>245</v>
      </c>
      <c r="S17" s="127" t="s">
        <v>247</v>
      </c>
      <c r="T17" s="127" t="s">
        <v>248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</row>
    <row r="18" spans="1:53" x14ac:dyDescent="0.15">
      <c r="A18" s="163" t="str">
        <f>'TAS Apr 2019'!K4</f>
        <v>Aurora Energy</v>
      </c>
      <c r="B18" s="164" t="str">
        <f>'TAS Apr 2019'!L4</f>
        <v>Regulated</v>
      </c>
      <c r="C18" s="165">
        <f>IF('TAS Apr 2019'!BP4=0,91*'TAS Apr 2019'!M4/100,(91*'TAS Apr 2019'!M4/100)+'TAS Apr 2019'!BP4/4)</f>
        <v>99.437520000000006</v>
      </c>
      <c r="D18" s="165">
        <f>IF('TAS Apr 2019'!O4="",$C$13*$C$14*'TAS Apr 2019'!N4/100,IF($C$13*$C$14&gt;='TAS Apr 2019'!P4,('TAS Apr 2019'!P4*'TAS Apr 2019'!N4/100),($C$13*$C$14*'TAS Apr 2019'!N4/100)))</f>
        <v>153.92500000000001</v>
      </c>
      <c r="E18" s="165">
        <f>IF(AND('TAS Apr 2019'!P4&gt;0,'TAS Apr 2019'!R4&gt;0),IF($C$13*$C$14&lt;'TAS Apr 2019'!P4,0,IF($C$13*$C$14&lt;=('TAS Apr 2019'!R4+'TAS Apr 2019'!P4),(($C$13*$C$14-'TAS Apr 2019'!P4)*'TAS Apr 2019'!Q4/100),(('TAS Apr 2019'!R4)*'TAS Apr 2019'!Q4/100))),0)</f>
        <v>0</v>
      </c>
      <c r="F18" s="165">
        <f>IF(AND('TAS Apr 2019'!Q4&gt;0,'TAS Apr 2019'!S4&gt;0),IF($C$13*$C$14&lt;('TAS Apr 2019'!R4+'TAS Apr 2019'!P4),0,IF($C$13*$C$14&lt;=('TAS Apr 2019'!T4+'TAS Apr 2019'!R4+'TAS Apr 2019'!P4),(($C$13*$C$14-('TAS Apr 2019'!R4+'TAS Apr 2019'!P4))*'TAS Apr 2019'!S4/100),('TAS Apr 2019'!T4*'TAS Apr 2019'!S4/100))),0)</f>
        <v>0</v>
      </c>
      <c r="G18" s="165">
        <f>IF(AND('TAS Apr 2019'!R4&gt;0,'TAS Apr 2019'!T4&gt;0),IF(($C$13*$C$14&lt;'TAS Apr 2019'!T4),(0),($C$13*$C$14-'TAS Apr 2019'!T4)*'TAS Apr 2019'!U4/100),IF(AND('TAS Apr 2019'!R4&gt;0,'TAS Apr 2019'!T4=""),IF(($C$13*$C$14&lt;'TAS Apr 2019'!R4+'TAS Apr 2019'!P4),(0),(($C$13*$C$14-('TAS Apr 2019'!R4+'TAS Apr 2019'!P4))*'TAS Apr 2019'!S4/100)),IF(AND('TAS Apr 2019'!P4&gt;0,'TAS Apr 2019'!R4=""&gt;0),IF(($C$13*$C$14&lt;'TAS Apr 2019'!P4),(0),($C$13*$C$14-'TAS Apr 2019'!P4)*'TAS Apr 2019'!Q4/100),0)))</f>
        <v>683.22</v>
      </c>
      <c r="H18" s="167">
        <f>($C$13*$C$15)*'TAS Apr 2019'!AF4/100</f>
        <v>218.745</v>
      </c>
      <c r="I18" s="168">
        <f>SUM(C18:H18)</f>
        <v>1155.32752</v>
      </c>
      <c r="J18" s="188">
        <f>(I18-C18)*4</f>
        <v>4223.5600000000004</v>
      </c>
      <c r="K18" s="188">
        <f>I18*4</f>
        <v>4621.3100800000002</v>
      </c>
      <c r="L18" s="169">
        <f>K18*1.1</f>
        <v>5083.4410880000005</v>
      </c>
      <c r="M18" s="170">
        <f>'TAS Apr 2019'!BB4</f>
        <v>0</v>
      </c>
      <c r="N18" s="170">
        <f>'TAS Apr 2019'!BC4</f>
        <v>0</v>
      </c>
      <c r="O18" s="170">
        <f>'TAS Apr 2019'!BD4</f>
        <v>0</v>
      </c>
      <c r="P18" s="170">
        <f>'TAS Apr 2019'!BE4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1">IF(OR(A18="Origin Energy",A18="Red Energy",A18="Powershop"),"Inclusive","Exclusive")</f>
        <v>Exclusive</v>
      </c>
      <c r="S18" s="19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4621.3100800000002</v>
      </c>
      <c r="T18" s="19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4621.3100800000002</v>
      </c>
      <c r="U18" s="169">
        <f>S18*1.1</f>
        <v>5083.4410880000005</v>
      </c>
      <c r="V18" s="169">
        <f>T18*1.1</f>
        <v>5083.4410880000005</v>
      </c>
      <c r="W18" s="171">
        <f>'TAS Apr 2019'!BL4</f>
        <v>0</v>
      </c>
      <c r="X18" s="172" t="str">
        <f>'TAS Apr 2019'!BM4</f>
        <v>n</v>
      </c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</row>
    <row r="19" spans="1:53" ht="15" thickBot="1" x14ac:dyDescent="0.2">
      <c r="A19" s="136" t="str">
        <f>'TAS Apr 2019'!K5</f>
        <v>1st Energy</v>
      </c>
      <c r="B19" s="143" t="str">
        <f>'TAS Apr 2019'!L5</f>
        <v>1st Saver</v>
      </c>
      <c r="C19" s="116">
        <f>IF('TAS Apr 2019'!BP5=0,91*'TAS Apr 2019'!M5/100,(91*'TAS Apr 2019'!M5/100)+'TAS Apr 2019'!BP5/4)</f>
        <v>99.437520000000006</v>
      </c>
      <c r="D19" s="116">
        <f>IF('TAS Apr 2019'!O5="",$C$13*$C$14*'TAS Apr 2019'!N5/100,IF($C$13*$C$14&gt;='TAS Apr 2019'!P5,('TAS Apr 2019'!P5*'TAS Apr 2019'!N5/100),($C$13*$C$14*'TAS Apr 2019'!N5/100)))</f>
        <v>153.9</v>
      </c>
      <c r="E19" s="116">
        <f>IF(AND('TAS Apr 2019'!P5&gt;0,'TAS Apr 2019'!R5&gt;0),IF($C$13*$C$14&lt;'TAS Apr 2019'!P5,0,IF($C$13*$C$14&lt;=('TAS Apr 2019'!R5+'TAS Apr 2019'!P5),(($C$13*$C$14-'TAS Apr 2019'!P5)*'TAS Apr 2019'!Q5/100),(('TAS Apr 2019'!R5)*'TAS Apr 2019'!Q5/100))),0)</f>
        <v>0</v>
      </c>
      <c r="F19" s="116">
        <f>IF(AND('TAS Apr 2019'!Q5&gt;0,'TAS Apr 2019'!S5&gt;0),IF($C$13*$C$14&lt;('TAS Apr 2019'!R5+'TAS Apr 2019'!P5),0,IF($C$13*$C$14&lt;=('TAS Apr 2019'!T5+'TAS Apr 2019'!R5+'TAS Apr 2019'!P5),(($C$13*$C$14-('TAS Apr 2019'!R5+'TAS Apr 2019'!P5))*'TAS Apr 2019'!S5/100),('TAS Apr 2019'!T5*'TAS Apr 2019'!S5/100))),0)</f>
        <v>0</v>
      </c>
      <c r="G19" s="116">
        <f>IF(AND('TAS Apr 2019'!R5&gt;0,'TAS Apr 2019'!T5&gt;0),IF(($C$13*$C$14&lt;'TAS Apr 2019'!T5),(0),($C$13*$C$14-'TAS Apr 2019'!T5)*'TAS Apr 2019'!U5/100),IF(AND('TAS Apr 2019'!R5&gt;0,'TAS Apr 2019'!T5=""),IF(($C$13*$C$14&lt;'TAS Apr 2019'!R5+'TAS Apr 2019'!P5),(0),(($C$13*$C$14-('TAS Apr 2019'!R5+'TAS Apr 2019'!P5))*'TAS Apr 2019'!S5/100)),IF(AND('TAS Apr 2019'!P5&gt;0,'TAS Apr 2019'!R5=""&gt;0),IF(($C$13*$C$14&lt;'TAS Apr 2019'!P5),(0),($C$13*$C$14-'TAS Apr 2019'!P5)*'TAS Apr 2019'!Q5/100),0)))</f>
        <v>683.1</v>
      </c>
      <c r="H19" s="119">
        <f>($C$13*$C$15)*'TAS Apr 2019'!AF5/100</f>
        <v>218.73</v>
      </c>
      <c r="I19" s="120">
        <f>SUM(C19:H19)</f>
        <v>1155.16752</v>
      </c>
      <c r="J19" s="192">
        <f>(I19-C19)*4</f>
        <v>4222.92</v>
      </c>
      <c r="K19" s="192">
        <f>I19*4</f>
        <v>4620.6700799999999</v>
      </c>
      <c r="L19" s="121">
        <f>K19*1.1</f>
        <v>5082.7370879999999</v>
      </c>
      <c r="M19" s="115">
        <f>'TAS Apr 2019'!BB5</f>
        <v>0</v>
      </c>
      <c r="N19" s="115">
        <f>'TAS Apr 2019'!BC5</f>
        <v>0</v>
      </c>
      <c r="O19" s="115">
        <f>'TAS Apr 2019'!BD5</f>
        <v>0</v>
      </c>
      <c r="P19" s="115">
        <f>'TAS Apr 2019'!BE5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1"/>
        <v>Exclusive</v>
      </c>
      <c r="S19" s="18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4620.6700799999999</v>
      </c>
      <c r="T19" s="18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4409.5240800000001</v>
      </c>
      <c r="U19" s="121">
        <f>S19*1.1</f>
        <v>5082.7370879999999</v>
      </c>
      <c r="V19" s="121">
        <f>T19*1.1</f>
        <v>4850.4764880000002</v>
      </c>
      <c r="W19" s="137">
        <f>'TAS Apr 2019'!BL5</f>
        <v>0</v>
      </c>
      <c r="X19" s="138" t="str">
        <f>'TAS Apr 2019'!BM5</f>
        <v>n</v>
      </c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</row>
    <row r="20" spans="1:53" x14ac:dyDescent="0.15"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</row>
    <row r="21" spans="1:53" ht="15" thickBot="1" x14ac:dyDescent="0.2">
      <c r="S21" s="159"/>
      <c r="U21" s="159"/>
      <c r="V21" s="159"/>
      <c r="W21" s="159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4" t="s">
        <v>243</v>
      </c>
      <c r="K28" s="125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126" t="s">
        <v>244</v>
      </c>
      <c r="R28" s="126" t="s">
        <v>245</v>
      </c>
      <c r="S28" s="127" t="s">
        <v>247</v>
      </c>
      <c r="T28" s="127" t="s">
        <v>248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</row>
    <row r="29" spans="1:53" x14ac:dyDescent="0.15">
      <c r="A29" s="194" t="str">
        <f>'TAS Apr 2019'!K6</f>
        <v>Aurora Energy</v>
      </c>
      <c r="B29" s="142" t="str">
        <f>'TAS Apr 2019'!L6</f>
        <v>Regulated</v>
      </c>
      <c r="C29" s="195">
        <f>IF('TAS Apr 2019'!BP6=0,91*'TAS Apr 2019'!M6/100,(91*'TAS Apr 2019'!M6/100)+'TAS Apr 2019'!BP6/4)</f>
        <v>91.336700000000008</v>
      </c>
      <c r="D29" s="110">
        <f>IF('TAS Apr 2019'!O6="",$C$23*$C$24*'TAS Apr 2019'!N6/100,IF($C$23*$C$24&gt;='TAS Apr 2019'!P6,('TAS Apr 2019'!P6*'TAS Apr 2019'!N6/100),($C$23*$C$24*'TAS Apr 2019'!N6/100)))</f>
        <v>379.995</v>
      </c>
      <c r="E29" s="107">
        <f>IF(AND('TAS Apr 2019'!P6&gt;0,'TAS Apr 2019'!R6&gt;0),IF($C$23*$C$24&lt;'TAS Apr 2019'!P6,0,IF($C$23*$C$24&lt;=('TAS Apr 2019'!R6+'TAS Apr 2019'!P6),(($C$23*$C$24-'TAS Apr 2019'!P6)*'TAS Apr 2019'!Q6/100),(('TAS Apr 2019'!R6)*'TAS Apr 2019'!Q6/100))),0)</f>
        <v>0</v>
      </c>
      <c r="F29" s="107">
        <f>IF(AND('TAS Apr 2019'!R6&gt;0,'TAS Apr 2019'!T6&gt;0),IF(($C$23*$C$24&lt;'TAS Apr 2019'!T6),(0),($C$23*$C$24-'TAS Apr 2019'!T6)*'TAS Apr 2019'!U6/100),IF(AND('TAS Apr 2019'!R6&gt;0,'TAS Apr 2019'!T6=""),IF(($C$23*$C$24&lt;'TAS Apr 2019'!R6+'TAS Apr 2019'!P6),(0),(($C$23*$C$24-('TAS Apr 2019'!R6+'TAS Apr 2019'!P6))*'TAS Apr 2019'!S6/100)),IF(AND('TAS Apr 2019'!P6&gt;0,'TAS Apr 2019'!R6=""&gt;0),IF(($C$23*$C$24&lt;'TAS Apr 2019'!P6),(0),($C$23*$C$24-'TAS Apr 2019'!P6)*'TAS Apr 2019'!Q6/100),0)))</f>
        <v>0</v>
      </c>
      <c r="G29" s="109">
        <f>($C$23*$C$25)*'TAS Apr 2019'!AI6/100</f>
        <v>366.2</v>
      </c>
      <c r="H29" s="107">
        <f>($C$23*$C$26)*'TAS Apr 2019'!W6/100</f>
        <v>160.65</v>
      </c>
      <c r="I29" s="111">
        <f>SUM(C29:H29)</f>
        <v>998.18169999999998</v>
      </c>
      <c r="J29" s="189">
        <f>(I29-C29)*4</f>
        <v>3627.38</v>
      </c>
      <c r="K29" s="189">
        <f>I29*4</f>
        <v>3992.7267999999999</v>
      </c>
      <c r="L29" s="112">
        <f>K29*1.1</f>
        <v>4391.9994800000004</v>
      </c>
      <c r="M29" s="106">
        <f>'TAS Apr 2019'!BB6</f>
        <v>0</v>
      </c>
      <c r="N29" s="106">
        <f>'TAS Apr 2019'!BC6</f>
        <v>0</v>
      </c>
      <c r="O29" s="106">
        <f>'TAS Apr 2019'!BD6</f>
        <v>0</v>
      </c>
      <c r="P29" s="106">
        <f>'TAS Apr 2019'!BE6</f>
        <v>0</v>
      </c>
      <c r="Q29" s="106" t="str">
        <f>IF(SUM(M29:P29)=0,"No discount",IF(M29&gt;0,"Guaranteed off bill",IF(N29&gt;0,"Guaranteed off usage",IF(O29&gt;0,"Pay-on-time off bill","Pay-on-time off usage"))))</f>
        <v>No discount</v>
      </c>
      <c r="R29" s="106" t="str">
        <f t="shared" ref="R29:R30" si="2">IF(OR(A29="Origin Energy",A29="Red Energy",A29="Powershop"),"Inclusive","Exclusive")</f>
        <v>Exclusive</v>
      </c>
      <c r="S29" s="189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3992.7267999999999</v>
      </c>
      <c r="T29" s="189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3992.7267999999999</v>
      </c>
      <c r="U29" s="196">
        <f>S29*1.1</f>
        <v>4391.9994800000004</v>
      </c>
      <c r="V29" s="197">
        <f>T29*1.1</f>
        <v>4391.9994800000004</v>
      </c>
      <c r="W29" s="134">
        <f>'TAS Apr 2019'!BL6</f>
        <v>0</v>
      </c>
      <c r="X29" s="172" t="str">
        <f>'TAS Apr 2019'!BM6</f>
        <v>n</v>
      </c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</row>
    <row r="30" spans="1:53" ht="15" thickBot="1" x14ac:dyDescent="0.2">
      <c r="A30" s="136" t="str">
        <f>'TAS Apr 2019'!K7</f>
        <v>1st Energy</v>
      </c>
      <c r="B30" s="143" t="str">
        <f>'TAS Apr 2019'!L7</f>
        <v>1st Saver</v>
      </c>
      <c r="C30" s="116">
        <f>IF('TAS Apr 2019'!BP6=0,91*'TAS Apr 2019'!M6/100,(91*'TAS Apr 2019'!M6/100)+'TAS Apr 2019'!BP6/4)</f>
        <v>91.336700000000008</v>
      </c>
      <c r="D30" s="116">
        <f>IF('TAS Apr 2019'!O7="",$C$23*$C$24*'TAS Apr 2019'!N7/100,IF($C$23*$C$24&gt;='TAS Apr 2019'!P7,('TAS Apr 2019'!P7*'TAS Apr 2019'!N7/100),($C$23*$C$24*'TAS Apr 2019'!N7/100)))</f>
        <v>379.95</v>
      </c>
      <c r="E30" s="116">
        <f>IF(AND('TAS Apr 2019'!P7&gt;0,'TAS Apr 2019'!R7&gt;0),IF($C$23*$C$24&lt;'TAS Apr 2019'!P7,0,IF($C$23*$C$24&lt;=('TAS Apr 2019'!R7+'TAS Apr 2019'!P7),(($C$23*$C$24-'TAS Apr 2019'!P7)*'TAS Apr 2019'!Q7/100),(('TAS Apr 2019'!R7)*'TAS Apr 2019'!Q7/100))),0)</f>
        <v>0</v>
      </c>
      <c r="F30" s="116">
        <f>IF(AND('TAS Apr 2019'!R7&gt;0,'TAS Apr 2019'!T7&gt;0),IF(($C$23*$C$24&lt;'TAS Apr 2019'!T7),(0),($C$23*$C$24-'TAS Apr 2019'!T7)*'TAS Apr 2019'!U7/100),IF(AND('TAS Apr 2019'!R7&gt;0,'TAS Apr 2019'!T7=""),IF(($C$23*$C$24&lt;'TAS Apr 2019'!R7+'TAS Apr 2019'!P7),(0),(($C$23*$C$24-('TAS Apr 2019'!R7+'TAS Apr 2019'!P7))*'TAS Apr 2019'!S7/100)),IF(AND('TAS Apr 2019'!P7&gt;0,'TAS Apr 2019'!R7=""&gt;0),IF(($C$23*$C$24&lt;'TAS Apr 2019'!P7),(0),($C$23*$C$24-'TAS Apr 2019'!P7)*'TAS Apr 2019'!Q7/100),0)))</f>
        <v>0</v>
      </c>
      <c r="G30" s="118">
        <f>($C$23*$C$25)*'TAS Apr 2019'!AI7/100</f>
        <v>366.2</v>
      </c>
      <c r="H30" s="119">
        <f>($C$23*$C$26)*'TAS Apr 2019'!W7/100</f>
        <v>160.65</v>
      </c>
      <c r="I30" s="120">
        <f>SUM(C30:H30)</f>
        <v>998.13669999999991</v>
      </c>
      <c r="J30" s="192">
        <f>(I30-C30)*4</f>
        <v>3627.2</v>
      </c>
      <c r="K30" s="192">
        <f>I30*4</f>
        <v>3992.5467999999996</v>
      </c>
      <c r="L30" s="121">
        <f>K30*1.1</f>
        <v>4391.8014800000001</v>
      </c>
      <c r="M30" s="115">
        <f>'TAS Apr 2019'!BB7</f>
        <v>0</v>
      </c>
      <c r="N30" s="115">
        <f>'TAS Apr 2019'!BC7</f>
        <v>0</v>
      </c>
      <c r="O30" s="115">
        <f>'TAS Apr 2019'!BD7</f>
        <v>0</v>
      </c>
      <c r="P30" s="115">
        <f>'TAS Apr 2019'!BE7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98" t="str">
        <f t="shared" si="2"/>
        <v>Exclusive</v>
      </c>
      <c r="S30" s="199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3992.5467999999996</v>
      </c>
      <c r="T30" s="18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3811.1867999999995</v>
      </c>
      <c r="U30" s="121">
        <f>S30*1.1</f>
        <v>4391.8014800000001</v>
      </c>
      <c r="V30" s="121">
        <f>T30*1.1</f>
        <v>4192.30548</v>
      </c>
      <c r="W30" s="137">
        <f>'TAS Apr 2019'!BL7</f>
        <v>0</v>
      </c>
      <c r="X30" s="138" t="str">
        <f>'TAS Apr 2019'!BM7</f>
        <v>n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</row>
    <row r="31" spans="1:53" x14ac:dyDescent="0.15"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</row>
    <row r="32" spans="1:53" x14ac:dyDescent="0.15"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</row>
    <row r="33" spans="25:53" x14ac:dyDescent="0.15"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</row>
    <row r="34" spans="25:53" x14ac:dyDescent="0.15"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</row>
    <row r="35" spans="25:53" x14ac:dyDescent="0.15"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</row>
    <row r="36" spans="25:53" x14ac:dyDescent="0.15"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</row>
    <row r="37" spans="25:53" x14ac:dyDescent="0.15"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</row>
    <row r="38" spans="25:53" x14ac:dyDescent="0.15"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</row>
    <row r="39" spans="25:53" x14ac:dyDescent="0.15"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</row>
    <row r="40" spans="25:53" x14ac:dyDescent="0.15"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</row>
    <row r="41" spans="25:53" x14ac:dyDescent="0.15"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</row>
    <row r="42" spans="25:53" x14ac:dyDescent="0.15"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</row>
    <row r="43" spans="25:53" x14ac:dyDescent="0.15"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</row>
    <row r="44" spans="25:53" x14ac:dyDescent="0.15"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</row>
    <row r="45" spans="25:53" x14ac:dyDescent="0.15"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</row>
    <row r="46" spans="25:53" x14ac:dyDescent="0.15"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</row>
    <row r="47" spans="25:53" x14ac:dyDescent="0.15"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</row>
    <row r="48" spans="25:53" x14ac:dyDescent="0.15"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</row>
    <row r="49" spans="25:53" x14ac:dyDescent="0.15"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</row>
    <row r="50" spans="25:53" x14ac:dyDescent="0.15"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</row>
    <row r="51" spans="25:53" x14ac:dyDescent="0.15"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</row>
    <row r="52" spans="25:53" x14ac:dyDescent="0.15"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</row>
    <row r="53" spans="25:53" x14ac:dyDescent="0.15"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</row>
    <row r="54" spans="25:53" x14ac:dyDescent="0.15"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</row>
    <row r="55" spans="25:53" x14ac:dyDescent="0.15"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</row>
    <row r="56" spans="25:53" x14ac:dyDescent="0.15"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</row>
    <row r="57" spans="25:53" x14ac:dyDescent="0.15"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</row>
    <row r="58" spans="25:53" x14ac:dyDescent="0.15"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</row>
    <row r="59" spans="25:53" x14ac:dyDescent="0.15"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</row>
    <row r="60" spans="25:53" x14ac:dyDescent="0.15"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</row>
    <row r="61" spans="25:53" x14ac:dyDescent="0.15"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</row>
    <row r="62" spans="25:53" x14ac:dyDescent="0.15"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</row>
    <row r="63" spans="25:53" x14ac:dyDescent="0.15"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</row>
    <row r="64" spans="25:53" x14ac:dyDescent="0.15"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</row>
    <row r="65" spans="25:53" x14ac:dyDescent="0.15"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</row>
    <row r="66" spans="25:53" x14ac:dyDescent="0.15"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</row>
    <row r="67" spans="25:53" x14ac:dyDescent="0.15"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</row>
    <row r="68" spans="25:53" x14ac:dyDescent="0.15"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</row>
    <row r="69" spans="25:53" x14ac:dyDescent="0.15"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</row>
    <row r="70" spans="25:53" x14ac:dyDescent="0.15"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</row>
    <row r="71" spans="25:53" x14ac:dyDescent="0.15"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</row>
    <row r="72" spans="25:53" x14ac:dyDescent="0.15"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</row>
    <row r="73" spans="25:53" x14ac:dyDescent="0.15"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</row>
    <row r="74" spans="25:53" x14ac:dyDescent="0.15"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</row>
  </sheetData>
  <sheetProtection algorithmName="SHA-512" hashValue="/THOG0w9GLnVqQjHDCGtZP2IOrb1L40GiZhvCqIMYuu5rsBS7B26kkL2dyK/DPgVDvxYrsELQIeKkuODiR/M4w==" saltValue="eVma9eZBAKtvrfC8/AOKWg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A109-F19F-BF4F-B463-921A19F90958}">
  <sheetPr codeName="Sheet5">
    <tabColor theme="0" tint="-0.34998626667073579"/>
  </sheetPr>
  <dimension ref="A1:AW71"/>
  <sheetViews>
    <sheetView zoomScaleNormal="100" zoomScalePageLayoutView="120" workbookViewId="0">
      <selection activeCell="D26" sqref="D26"/>
    </sheetView>
  </sheetViews>
  <sheetFormatPr baseColWidth="10" defaultRowHeight="13" x14ac:dyDescent="0.15"/>
  <cols>
    <col min="1" max="1" width="20.33203125" style="102" customWidth="1"/>
    <col min="2" max="2" width="13.5" style="102" customWidth="1"/>
    <col min="3" max="20" width="12.1640625" style="102" customWidth="1"/>
    <col min="21" max="49" width="7.5" style="102" customWidth="1"/>
    <col min="50" max="16384" width="10.83203125" style="102"/>
  </cols>
  <sheetData>
    <row r="1" spans="1:49" ht="14" x14ac:dyDescent="0.15">
      <c r="A1" s="101" t="s">
        <v>149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</row>
    <row r="2" spans="1:49" ht="14" x14ac:dyDescent="0.15">
      <c r="A2" s="103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</row>
    <row r="3" spans="1:49" ht="15" thickBot="1" x14ac:dyDescent="0.2">
      <c r="A3" s="101"/>
      <c r="B3" s="101"/>
      <c r="C3" s="101"/>
      <c r="D3" s="101"/>
      <c r="E3" s="101"/>
      <c r="F3" s="101"/>
      <c r="G3" s="10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</row>
    <row r="8" spans="1:49" ht="15" thickBot="1" x14ac:dyDescent="0.2">
      <c r="A8" s="146" t="str">
        <f>'TAS Oct 2018'!K2</f>
        <v>Aurora Energy</v>
      </c>
      <c r="B8" s="147" t="str">
        <f>'TAS Oct 2018'!L2</f>
        <v>Regulated</v>
      </c>
      <c r="C8" s="148">
        <f>91*'TAS Oct 2018'!M2/100</f>
        <v>84.320599999999999</v>
      </c>
      <c r="D8" s="148">
        <f>IF($C$5&gt;='TAS Oct 2018'!P2,('TAS Oct 2018'!P2*'TAS Oct 2018'!N2/100),('TAS Bills October 2018'!$C$5*'TAS Oct 2018'!N2/100))</f>
        <v>153.92500000000001</v>
      </c>
      <c r="E8" s="148">
        <v>0</v>
      </c>
      <c r="F8" s="149">
        <v>0</v>
      </c>
      <c r="G8" s="150">
        <v>0</v>
      </c>
      <c r="H8" s="151">
        <f>IF(($C$5&lt;'TAS Oct 2018'!P2),(0),('TAS Bills October 2018'!$C$5-'TAS Oct 2018'!P2)*'TAS Oct 2018'!Q2/100)</f>
        <v>1024.83</v>
      </c>
      <c r="I8" s="152">
        <f>SUM(C8:H8)</f>
        <v>1263.0755999999999</v>
      </c>
      <c r="J8" s="153">
        <f>I8*4</f>
        <v>5052.3023999999996</v>
      </c>
      <c r="K8" s="154">
        <v>0</v>
      </c>
      <c r="L8" s="154">
        <f>'TAS Oct 2018'!AY2</f>
        <v>0</v>
      </c>
      <c r="M8" s="154">
        <f>'TAS Oct 2018'!AZ2</f>
        <v>0</v>
      </c>
      <c r="N8" s="154">
        <f>'TAS Oct 2018'!BA2</f>
        <v>0</v>
      </c>
      <c r="O8" s="153">
        <f>J8</f>
        <v>5052.3023999999996</v>
      </c>
      <c r="P8" s="153">
        <f>O8-(O8*M8/100)</f>
        <v>5052.3023999999996</v>
      </c>
      <c r="Q8" s="153">
        <f>O8*1.1</f>
        <v>5557.5326400000004</v>
      </c>
      <c r="R8" s="153">
        <f>P8*1.1</f>
        <v>5557.5326400000004</v>
      </c>
      <c r="S8" s="155">
        <f>'TAS Oct 2018'!BH2</f>
        <v>0</v>
      </c>
      <c r="T8" s="156">
        <f>'TAS Oct 2018'!BI2</f>
        <v>0</v>
      </c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</row>
    <row r="9" spans="1:49" ht="14" x14ac:dyDescent="0.15"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</row>
    <row r="10" spans="1:49" ht="15" thickBot="1" x14ac:dyDescent="0.2"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</row>
    <row r="11" spans="1:49" ht="14" x14ac:dyDescent="0.15">
      <c r="A11" s="51" t="s">
        <v>96</v>
      </c>
      <c r="B11" s="52"/>
      <c r="C11" s="52"/>
      <c r="D11" s="67"/>
      <c r="E11" s="67"/>
      <c r="F11" s="67"/>
      <c r="G11" s="67"/>
      <c r="H11" s="67"/>
      <c r="I11" s="68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</row>
    <row r="12" spans="1:49" ht="14" x14ac:dyDescent="0.15">
      <c r="A12" s="54" t="s">
        <v>79</v>
      </c>
      <c r="B12" s="39"/>
      <c r="C12" s="72">
        <v>5000</v>
      </c>
      <c r="D12" s="69"/>
      <c r="E12" s="69"/>
      <c r="F12" s="69"/>
      <c r="G12" s="69"/>
      <c r="H12" s="69"/>
      <c r="I12" s="70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5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</row>
    <row r="13" spans="1:49" ht="14" x14ac:dyDescent="0.15">
      <c r="A13" s="54" t="s">
        <v>97</v>
      </c>
      <c r="B13" s="39"/>
      <c r="C13" s="73">
        <v>0.7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</row>
    <row r="14" spans="1:49" ht="14" x14ac:dyDescent="0.15">
      <c r="A14" s="54" t="s">
        <v>148</v>
      </c>
      <c r="B14" s="39"/>
      <c r="C14" s="73">
        <v>0.3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</row>
    <row r="15" spans="1:49" ht="14" x14ac:dyDescent="0.15">
      <c r="A15" s="54"/>
      <c r="B15" s="39"/>
      <c r="C15" s="69"/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</row>
    <row r="16" spans="1:49" ht="75" x14ac:dyDescent="0.15">
      <c r="A16" s="129" t="s">
        <v>73</v>
      </c>
      <c r="B16" s="130" t="s">
        <v>80</v>
      </c>
      <c r="C16" s="124" t="s">
        <v>81</v>
      </c>
      <c r="D16" s="124" t="s">
        <v>82</v>
      </c>
      <c r="E16" s="124" t="s">
        <v>83</v>
      </c>
      <c r="F16" s="124" t="s">
        <v>84</v>
      </c>
      <c r="G16" s="124" t="s">
        <v>86</v>
      </c>
      <c r="H16" s="124" t="s">
        <v>96</v>
      </c>
      <c r="I16" s="124" t="s">
        <v>87</v>
      </c>
      <c r="J16" s="125" t="s">
        <v>61</v>
      </c>
      <c r="K16" s="126" t="s">
        <v>62</v>
      </c>
      <c r="L16" s="126" t="s">
        <v>63</v>
      </c>
      <c r="M16" s="126" t="s">
        <v>64</v>
      </c>
      <c r="N16" s="126" t="s">
        <v>65</v>
      </c>
      <c r="O16" s="127" t="s">
        <v>66</v>
      </c>
      <c r="P16" s="127" t="s">
        <v>67</v>
      </c>
      <c r="Q16" s="127" t="s">
        <v>25</v>
      </c>
      <c r="R16" s="127" t="s">
        <v>26</v>
      </c>
      <c r="S16" s="126" t="s">
        <v>68</v>
      </c>
      <c r="T16" s="128" t="s">
        <v>95</v>
      </c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</row>
    <row r="17" spans="1:49" ht="15" thickBot="1" x14ac:dyDescent="0.2">
      <c r="A17" s="146" t="str">
        <f>'TAS Oct 2018'!K3</f>
        <v>Aurora Energy</v>
      </c>
      <c r="B17" s="147" t="str">
        <f>'TAS Oct 2018'!L3</f>
        <v>Regulated</v>
      </c>
      <c r="C17" s="148">
        <f>91*'TAS Oct 2018'!M3/100</f>
        <v>99.437520000000006</v>
      </c>
      <c r="D17" s="148">
        <f>IF(($C$12*$C$13)&gt;='TAS Oct 2018'!P3,('TAS Oct 2018'!P3*'TAS Oct 2018'!N3/100),(('TAS Bills October 2018'!$C$12*'TAS Bills October 2018'!$C$13)*'TAS Oct 2018'!N3/100))</f>
        <v>153.92500000000001</v>
      </c>
      <c r="E17" s="148">
        <v>0</v>
      </c>
      <c r="F17" s="149">
        <v>0</v>
      </c>
      <c r="G17" s="150">
        <f>IF($C$12*$C$13&lt;'TAS Oct 2018'!P3,(0),((('TAS Bills October 2018'!$C$12*'TAS Bills October 2018'!$C$13)-('TAS Oct 2018'!P3))*'TAS Oct 2018'!Q3/100))</f>
        <v>683.22</v>
      </c>
      <c r="H17" s="151">
        <f>($C$12*$C$14)*'TAS Oct 2018'!AF3/100</f>
        <v>218.745</v>
      </c>
      <c r="I17" s="152">
        <f>SUM(C17:H17)</f>
        <v>1155.32752</v>
      </c>
      <c r="J17" s="153">
        <f>I17*4</f>
        <v>4621.3100800000002</v>
      </c>
      <c r="K17" s="154">
        <v>0</v>
      </c>
      <c r="L17" s="154">
        <f>'TAS Oct 2018'!AY3</f>
        <v>0</v>
      </c>
      <c r="M17" s="154">
        <f>'TAS Oct 2018'!AZ3</f>
        <v>0</v>
      </c>
      <c r="N17" s="154">
        <f>'TAS Oct 2018'!BA3</f>
        <v>0</v>
      </c>
      <c r="O17" s="153">
        <f>J17</f>
        <v>4621.3100800000002</v>
      </c>
      <c r="P17" s="153">
        <f>O17-(O17*M17/100)</f>
        <v>4621.3100800000002</v>
      </c>
      <c r="Q17" s="153">
        <f>O17*1.1</f>
        <v>5083.4410880000005</v>
      </c>
      <c r="R17" s="153">
        <f>P17*1.1</f>
        <v>5083.4410880000005</v>
      </c>
      <c r="S17" s="155">
        <f>'TAS Oct 2018'!BH3</f>
        <v>0</v>
      </c>
      <c r="T17" s="156">
        <f>'TAS Oct 2018'!BI3</f>
        <v>0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</row>
    <row r="18" spans="1:49" ht="14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</row>
    <row r="19" spans="1:49" ht="15" thickBo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4"/>
      <c r="P19" s="101"/>
      <c r="Q19" s="104"/>
      <c r="R19" s="104"/>
      <c r="S19" s="104"/>
      <c r="T19" s="101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</row>
    <row r="20" spans="1:49" ht="14" x14ac:dyDescent="0.15">
      <c r="A20" s="51" t="s">
        <v>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39"/>
      <c r="R20" s="39"/>
      <c r="S20" s="39"/>
      <c r="T20" s="53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</row>
    <row r="21" spans="1:49" ht="14" x14ac:dyDescent="0.15">
      <c r="A21" s="54" t="s">
        <v>22</v>
      </c>
      <c r="B21" s="39"/>
      <c r="C21" s="72">
        <v>5000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</row>
    <row r="22" spans="1:49" ht="14" x14ac:dyDescent="0.15">
      <c r="A22" s="54" t="s">
        <v>23</v>
      </c>
      <c r="B22" s="39"/>
      <c r="C22" s="73">
        <v>0.3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</row>
    <row r="23" spans="1:49" ht="14" x14ac:dyDescent="0.15">
      <c r="A23" s="54" t="s">
        <v>24</v>
      </c>
      <c r="B23" s="39"/>
      <c r="C23" s="73">
        <v>0.4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</row>
    <row r="24" spans="1:49" ht="14" x14ac:dyDescent="0.15">
      <c r="A24" s="54" t="s">
        <v>21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</row>
    <row r="25" spans="1:49" ht="14" x14ac:dyDescent="0.15">
      <c r="A25" s="54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</row>
    <row r="26" spans="1:49" ht="75" x14ac:dyDescent="0.15">
      <c r="A26" s="129" t="s">
        <v>35</v>
      </c>
      <c r="B26" s="130" t="s">
        <v>36</v>
      </c>
      <c r="C26" s="124" t="s">
        <v>27</v>
      </c>
      <c r="D26" s="124" t="s">
        <v>153</v>
      </c>
      <c r="E26" s="124" t="s">
        <v>83</v>
      </c>
      <c r="F26" s="124" t="s">
        <v>154</v>
      </c>
      <c r="G26" s="124" t="s">
        <v>155</v>
      </c>
      <c r="H26" s="124" t="s">
        <v>156</v>
      </c>
      <c r="I26" s="124" t="s">
        <v>87</v>
      </c>
      <c r="J26" s="125" t="s">
        <v>157</v>
      </c>
      <c r="K26" s="126" t="s">
        <v>94</v>
      </c>
      <c r="L26" s="126" t="s">
        <v>123</v>
      </c>
      <c r="M26" s="126" t="s">
        <v>124</v>
      </c>
      <c r="N26" s="126" t="s">
        <v>125</v>
      </c>
      <c r="O26" s="127" t="s">
        <v>158</v>
      </c>
      <c r="P26" s="127" t="s">
        <v>159</v>
      </c>
      <c r="Q26" s="127" t="s">
        <v>25</v>
      </c>
      <c r="R26" s="127" t="s">
        <v>26</v>
      </c>
      <c r="S26" s="126" t="s">
        <v>55</v>
      </c>
      <c r="T26" s="128" t="s">
        <v>160</v>
      </c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</row>
    <row r="27" spans="1:49" ht="15" thickBot="1" x14ac:dyDescent="0.2">
      <c r="A27" s="146" t="str">
        <f>'TAS Oct 2018'!K4</f>
        <v>Aurora Energy</v>
      </c>
      <c r="B27" s="147" t="str">
        <f>'TAS Oct 2018'!L4</f>
        <v>Regulated</v>
      </c>
      <c r="C27" s="148">
        <f>91*'TAS Oct 2018'!M4/100</f>
        <v>91.336700000000008</v>
      </c>
      <c r="D27" s="148">
        <f>($C$21*$C$22)*'TAS Oct 2018'!N4/100</f>
        <v>379.995</v>
      </c>
      <c r="E27" s="148">
        <v>0</v>
      </c>
      <c r="F27" s="149">
        <v>0</v>
      </c>
      <c r="G27" s="150">
        <f>($C$21*$C$23)*'TAS Oct 2018'!AI4/100</f>
        <v>366.2</v>
      </c>
      <c r="H27" s="151">
        <f>($C$21*$C$24)*'TAS Oct 2018'!W4/100</f>
        <v>160.65</v>
      </c>
      <c r="I27" s="152">
        <f>SUM(C27:H27)</f>
        <v>998.18169999999998</v>
      </c>
      <c r="J27" s="153">
        <f>I27*4</f>
        <v>3992.7267999999999</v>
      </c>
      <c r="K27" s="154">
        <v>0</v>
      </c>
      <c r="L27" s="154">
        <f>'TAS Oct 2018'!AY4</f>
        <v>0</v>
      </c>
      <c r="M27" s="154">
        <f>'TAS Oct 2018'!AZ4</f>
        <v>0</v>
      </c>
      <c r="N27" s="154">
        <f>'TAS Oct 2018'!BA4</f>
        <v>0</v>
      </c>
      <c r="O27" s="153">
        <f>J27</f>
        <v>3992.7267999999999</v>
      </c>
      <c r="P27" s="153">
        <f>O27-(O27*M27/100)</f>
        <v>3992.7267999999999</v>
      </c>
      <c r="Q27" s="153">
        <f>O27*1.1</f>
        <v>4391.9994800000004</v>
      </c>
      <c r="R27" s="153">
        <f>P27*1.1</f>
        <v>4391.9994800000004</v>
      </c>
      <c r="S27" s="155">
        <f>'TAS Oct 2018'!BH4</f>
        <v>0</v>
      </c>
      <c r="T27" s="156">
        <f>'TAS Oct 2018'!BI4</f>
        <v>0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</row>
    <row r="28" spans="1:49" ht="14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</row>
    <row r="29" spans="1:49" ht="14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</row>
    <row r="30" spans="1:49" ht="14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</row>
    <row r="31" spans="1:49" ht="14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</row>
    <row r="32" spans="1:49" ht="14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</row>
    <row r="33" spans="1:49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</row>
    <row r="34" spans="1:49" ht="14" x14ac:dyDescent="0.1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</row>
    <row r="35" spans="1:49" ht="14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</row>
    <row r="36" spans="1:49" ht="14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</row>
    <row r="37" spans="1:49" ht="14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</row>
    <row r="38" spans="1:49" ht="14" x14ac:dyDescent="0.1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</row>
    <row r="39" spans="1:49" ht="14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</row>
    <row r="40" spans="1:49" ht="14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</row>
    <row r="41" spans="1:49" ht="14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</row>
    <row r="42" spans="1:49" ht="14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</row>
    <row r="43" spans="1:49" ht="14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</row>
    <row r="44" spans="1:49" ht="14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</row>
    <row r="45" spans="1:49" ht="14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</row>
    <row r="46" spans="1:49" ht="14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</row>
    <row r="47" spans="1:49" ht="14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</row>
    <row r="48" spans="1:49" ht="14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</row>
    <row r="49" spans="1:49" ht="14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</row>
    <row r="50" spans="1:49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</row>
    <row r="51" spans="1:49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</row>
    <row r="52" spans="1:49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</row>
    <row r="53" spans="1:49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</row>
    <row r="54" spans="1:49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</row>
    <row r="55" spans="1:49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</row>
    <row r="56" spans="1:49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</row>
    <row r="57" spans="1:49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</row>
    <row r="58" spans="1:49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</row>
    <row r="59" spans="1:49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</row>
    <row r="60" spans="1:49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</row>
    <row r="61" spans="1:49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</row>
    <row r="62" spans="1:49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</row>
    <row r="63" spans="1:49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</row>
    <row r="64" spans="1:49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</row>
    <row r="65" spans="1:49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</row>
    <row r="66" spans="1:49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</row>
    <row r="67" spans="1:49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</row>
    <row r="68" spans="1:49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</row>
    <row r="69" spans="1:49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</row>
    <row r="70" spans="1:49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</row>
    <row r="71" spans="1:49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</row>
  </sheetData>
  <sheetProtection algorithmName="SHA-512" hashValue="uImEwJhjEuTFhV/w/riyRX446bO67jj0kJp+1jP+THSVsWcZy8bVi19BP1dC1N4HlNbKrVCFDeNWHif6gX2vow==" saltValue="ICUPkhcUGwt8xkI4yVwISw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84ED-74F8-8E40-9691-97AA1133955A}">
  <sheetPr codeName="Sheet6">
    <tabColor theme="9"/>
  </sheetPr>
  <dimension ref="A1:WM405"/>
  <sheetViews>
    <sheetView topLeftCell="A2" zoomScaleNormal="100" zoomScalePageLayoutView="120" workbookViewId="0">
      <selection activeCell="G36" sqref="G36"/>
    </sheetView>
  </sheetViews>
  <sheetFormatPr baseColWidth="10" defaultRowHeight="13" x14ac:dyDescent="0.15"/>
  <cols>
    <col min="1" max="1" width="20.33203125" style="48" customWidth="1"/>
    <col min="2" max="2" width="13.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97" customWidth="1"/>
    <col min="50" max="137" width="10.83203125" style="97"/>
    <col min="138" max="611" width="10.83203125" style="80"/>
    <col min="612" max="16384" width="10.83203125" style="48"/>
  </cols>
  <sheetData>
    <row r="1" spans="1:611" s="97" customFormat="1" ht="14" x14ac:dyDescent="0.15">
      <c r="A1" s="96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</row>
    <row r="2" spans="1:611" s="97" customFormat="1" ht="14" x14ac:dyDescent="0.15">
      <c r="A2" s="98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</row>
    <row r="3" spans="1:611" s="97" customFormat="1" ht="15" thickBot="1" x14ac:dyDescent="0.2">
      <c r="A3" s="96"/>
      <c r="B3" s="96"/>
      <c r="C3" s="96"/>
      <c r="D3" s="96"/>
      <c r="E3" s="96"/>
      <c r="F3" s="96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</row>
    <row r="4" spans="1:611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</row>
    <row r="5" spans="1:611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</row>
    <row r="6" spans="1:611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</row>
    <row r="7" spans="1:611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</row>
    <row r="8" spans="1:611" ht="14" x14ac:dyDescent="0.15">
      <c r="A8" s="133" t="str">
        <f>'TAS Apr 2018'!K2</f>
        <v>Aurora Energy</v>
      </c>
      <c r="B8" s="142" t="str">
        <f>'TAS Apr 2018'!L2</f>
        <v>Regulated</v>
      </c>
      <c r="C8" s="107">
        <f>91*'TAS Apr 2018'!M2/100</f>
        <v>82.628909999999991</v>
      </c>
      <c r="D8" s="107">
        <f>IF($C$5&gt;='TAS Apr 2018'!P2,('TAS Apr 2018'!P2*'TAS Apr 2018'!N2/100),('TAS Bills April 2018'!$C$5*'TAS Apr 2018'!N2/100))</f>
        <v>150.83500000000001</v>
      </c>
      <c r="E8" s="107">
        <v>0</v>
      </c>
      <c r="F8" s="108">
        <v>0</v>
      </c>
      <c r="G8" s="109">
        <v>0</v>
      </c>
      <c r="H8" s="110">
        <f>IF(($C$5&lt;'TAS Apr 2018'!P2),(0),('TAS Bills April 2018'!$C$5-'TAS Apr 2018'!P2)*'TAS Apr 2018'!Q2/100)</f>
        <v>1004.265</v>
      </c>
      <c r="I8" s="111">
        <f>SUM(C8:H8)</f>
        <v>1237.72891</v>
      </c>
      <c r="J8" s="112">
        <f>I8*4</f>
        <v>4950.9156400000002</v>
      </c>
      <c r="K8" s="106">
        <v>0</v>
      </c>
      <c r="L8" s="106">
        <f>'TAS Apr 2018'!AY2</f>
        <v>0</v>
      </c>
      <c r="M8" s="106">
        <f>'TAS Apr 2018'!AZ2</f>
        <v>0</v>
      </c>
      <c r="N8" s="106">
        <f>'TAS Apr 2018'!BA2</f>
        <v>0</v>
      </c>
      <c r="O8" s="112">
        <f>J8</f>
        <v>4950.9156400000002</v>
      </c>
      <c r="P8" s="112">
        <f>O8-(O8*M8/100)</f>
        <v>4950.9156400000002</v>
      </c>
      <c r="Q8" s="112">
        <f>O8*1.1</f>
        <v>5446.0072040000005</v>
      </c>
      <c r="R8" s="112">
        <f>P8*1.1</f>
        <v>5446.0072040000005</v>
      </c>
      <c r="S8" s="113">
        <f>'TAS Apr 2018'!BH2</f>
        <v>0</v>
      </c>
      <c r="T8" s="114">
        <f>'TAS Apr 2018'!BI2</f>
        <v>0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</row>
    <row r="9" spans="1:611" s="94" customFormat="1" ht="15" thickBot="1" x14ac:dyDescent="0.2">
      <c r="A9" s="136" t="str">
        <f>'TAS Apr 2018'!K3</f>
        <v>ERM Power</v>
      </c>
      <c r="B9" s="143" t="str">
        <f>'TAS Apr 2018'!L3</f>
        <v>Adjustable</v>
      </c>
      <c r="C9" s="116">
        <f>91*'TAS Apr 2018'!M3/100</f>
        <v>98.28</v>
      </c>
      <c r="D9" s="116">
        <f>C5*'TAS Apr 2018'!N3/100</f>
        <v>1161.9999999999998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1260.2799999999997</v>
      </c>
      <c r="J9" s="121">
        <f t="shared" ref="J9" si="1">I9*4</f>
        <v>5041.119999999999</v>
      </c>
      <c r="K9" s="115">
        <v>0</v>
      </c>
      <c r="L9" s="115">
        <f>'TAS Apr 2018'!AY3</f>
        <v>0</v>
      </c>
      <c r="M9" s="115">
        <f>'TAS Apr 2018'!AZ3</f>
        <v>0</v>
      </c>
      <c r="N9" s="115">
        <f>'TAS Apr 2018'!BA3</f>
        <v>0</v>
      </c>
      <c r="O9" s="121">
        <f>J9-((I9-C9)*L9/100)*4</f>
        <v>5041.119999999999</v>
      </c>
      <c r="P9" s="121">
        <f>O9-(O9*M9/100)</f>
        <v>5041.119999999999</v>
      </c>
      <c r="Q9" s="121">
        <f>O9*1.1</f>
        <v>5545.2319999999991</v>
      </c>
      <c r="R9" s="121">
        <f>P9*1.1</f>
        <v>5545.2319999999991</v>
      </c>
      <c r="S9" s="122">
        <f>'TAS Apr 2018'!BH3</f>
        <v>0</v>
      </c>
      <c r="T9" s="123">
        <f>'TAS Apr 2018'!BI3</f>
        <v>0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</row>
    <row r="10" spans="1:611" s="97" customFormat="1" ht="14" x14ac:dyDescent="0.15"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</row>
    <row r="11" spans="1:611" s="97" customFormat="1" ht="15" thickBot="1" x14ac:dyDescent="0.2"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</row>
    <row r="12" spans="1:611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</row>
    <row r="13" spans="1:611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</row>
    <row r="14" spans="1:611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</row>
    <row r="15" spans="1:611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</row>
    <row r="16" spans="1:611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</row>
    <row r="17" spans="1:611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27" t="s">
        <v>66</v>
      </c>
      <c r="P17" s="127" t="s">
        <v>67</v>
      </c>
      <c r="Q17" s="127" t="s">
        <v>25</v>
      </c>
      <c r="R17" s="127" t="s">
        <v>26</v>
      </c>
      <c r="S17" s="126" t="s">
        <v>68</v>
      </c>
      <c r="T17" s="128" t="s">
        <v>95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</row>
    <row r="18" spans="1:611" ht="14" x14ac:dyDescent="0.15">
      <c r="A18" s="133" t="str">
        <f>'TAS Apr 2018'!K4</f>
        <v>Aurora Energy</v>
      </c>
      <c r="B18" s="142" t="str">
        <f>'TAS Apr 2018'!L4</f>
        <v>Regulated</v>
      </c>
      <c r="C18" s="107">
        <f>91*'TAS Apr 2018'!M4/100</f>
        <v>97.442800000000005</v>
      </c>
      <c r="D18" s="107">
        <f>IF(($C$13*$C$14)&gt;='TAS Apr 2018'!P4,('TAS Apr 2018'!P4*'TAS Apr 2018'!N4/100),(('TAS Bills April 2018'!$C$13*'TAS Bills April 2018'!$C$14)*'TAS Apr 2018'!N4/100))</f>
        <v>150.83500000000001</v>
      </c>
      <c r="E18" s="107">
        <v>0</v>
      </c>
      <c r="F18" s="108">
        <v>0</v>
      </c>
      <c r="G18" s="109">
        <f>IF($C$13*$C$14&lt;'TAS Apr 2018'!P4,(0),((('TAS Bills April 2018'!$C$13*'TAS Bills April 2018'!$C$14)-('TAS Apr 2018'!P4))*'TAS Apr 2018'!Q4/100))</f>
        <v>669.51</v>
      </c>
      <c r="H18" s="110">
        <f>($C$13*$C$15)*'TAS Apr 2018'!AF4/100</f>
        <v>214.35</v>
      </c>
      <c r="I18" s="111">
        <f>SUM(C18:H18)</f>
        <v>1132.1378</v>
      </c>
      <c r="J18" s="112">
        <f>I18*4</f>
        <v>4528.5511999999999</v>
      </c>
      <c r="K18" s="106">
        <v>0</v>
      </c>
      <c r="L18" s="106">
        <f>'TAS Apr 2018'!AY4</f>
        <v>0</v>
      </c>
      <c r="M18" s="106">
        <f>'TAS Apr 2018'!AZ4</f>
        <v>0</v>
      </c>
      <c r="N18" s="106">
        <f>'TAS Apr 2018'!BA4</f>
        <v>0</v>
      </c>
      <c r="O18" s="112">
        <f>J18</f>
        <v>4528.5511999999999</v>
      </c>
      <c r="P18" s="112">
        <f>O18-(O18*M18/100)</f>
        <v>4528.5511999999999</v>
      </c>
      <c r="Q18" s="112">
        <f>O18*1.1</f>
        <v>4981.4063200000001</v>
      </c>
      <c r="R18" s="112">
        <f>P18*1.1</f>
        <v>4981.4063200000001</v>
      </c>
      <c r="S18" s="113">
        <f>'TAS Apr 2018'!BH4</f>
        <v>0</v>
      </c>
      <c r="T18" s="114">
        <f>'TAS Apr 2018'!BI4</f>
        <v>0</v>
      </c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</row>
    <row r="19" spans="1:611" s="94" customFormat="1" ht="15" thickBot="1" x14ac:dyDescent="0.2">
      <c r="A19" s="136" t="str">
        <f>'TAS Apr 2018'!K5</f>
        <v>ERM Power</v>
      </c>
      <c r="B19" s="143" t="str">
        <f>'TAS Apr 2018'!L5</f>
        <v>Adjustable</v>
      </c>
      <c r="C19" s="116">
        <f>91*'TAS Apr 2018'!M5/100</f>
        <v>162.88999999999999</v>
      </c>
      <c r="D19" s="116">
        <f>(C13*C14)*'TAS Apr 2018'!N5/100</f>
        <v>813.4</v>
      </c>
      <c r="E19" s="116">
        <v>0</v>
      </c>
      <c r="F19" s="117">
        <v>0</v>
      </c>
      <c r="G19" s="118">
        <v>0</v>
      </c>
      <c r="H19" s="119">
        <f>($C$13*$C$15)*'TAS Apr 2018'!AF5/100</f>
        <v>229.95</v>
      </c>
      <c r="I19" s="120">
        <f>SUM(C19:H19)</f>
        <v>1206.24</v>
      </c>
      <c r="J19" s="121">
        <f t="shared" ref="J19" si="2">I19*4</f>
        <v>4824.96</v>
      </c>
      <c r="K19" s="115">
        <v>0</v>
      </c>
      <c r="L19" s="115">
        <f>'TAS Apr 2018'!AY5</f>
        <v>0</v>
      </c>
      <c r="M19" s="115">
        <f>'TAS Apr 2018'!AZ5</f>
        <v>0</v>
      </c>
      <c r="N19" s="115">
        <f>'TAS Apr 2018'!BA5</f>
        <v>0</v>
      </c>
      <c r="O19" s="121">
        <f>J19-((I19-C19)*L19/100)*4</f>
        <v>4824.96</v>
      </c>
      <c r="P19" s="121">
        <f>O19-(O19*M19/100)</f>
        <v>4824.96</v>
      </c>
      <c r="Q19" s="121">
        <f>O19*1.1</f>
        <v>5307.4560000000001</v>
      </c>
      <c r="R19" s="121">
        <f>P19*1.1</f>
        <v>5307.4560000000001</v>
      </c>
      <c r="S19" s="122">
        <f>'TAS Apr 2018'!BH5</f>
        <v>0</v>
      </c>
      <c r="T19" s="123">
        <f>'TAS Apr 2018'!BI5</f>
        <v>0</v>
      </c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</row>
    <row r="20" spans="1:611" s="97" customFormat="1" ht="14" x14ac:dyDescent="0.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</row>
    <row r="21" spans="1:611" s="97" customFormat="1" ht="15" thickBo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9"/>
      <c r="P21" s="96"/>
      <c r="Q21" s="99"/>
      <c r="R21" s="99"/>
      <c r="S21" s="99"/>
      <c r="T21" s="96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</row>
    <row r="22" spans="1:611" ht="14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</row>
    <row r="23" spans="1:611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</row>
    <row r="24" spans="1:611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</row>
    <row r="25" spans="1:611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</row>
    <row r="26" spans="1:611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</row>
    <row r="27" spans="1:611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</row>
    <row r="28" spans="1:611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28" t="s">
        <v>160</v>
      </c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</row>
    <row r="29" spans="1:611" ht="14" x14ac:dyDescent="0.15">
      <c r="A29" s="133" t="str">
        <f>'TAS Apr 2018'!K6</f>
        <v>Aurora Energy</v>
      </c>
      <c r="B29" s="142" t="str">
        <f>'TAS Apr 2018'!L6</f>
        <v>Regulated</v>
      </c>
      <c r="C29" s="107">
        <f>91*'TAS Apr 2018'!M6/100</f>
        <v>89.503050000000002</v>
      </c>
      <c r="D29" s="107">
        <f>($C$23*$C$24)*'TAS Apr 2018'!N6/100</f>
        <v>372.375</v>
      </c>
      <c r="E29" s="107">
        <v>0</v>
      </c>
      <c r="F29" s="108">
        <v>0</v>
      </c>
      <c r="G29" s="109">
        <f>($C$23*$C$25)*'TAS Apr 2018'!AI6/100</f>
        <v>358.86</v>
      </c>
      <c r="H29" s="110">
        <f>($C$23*$C$26)*'TAS Apr 2018'!W6/100</f>
        <v>157.42499999999998</v>
      </c>
      <c r="I29" s="111">
        <f>SUM(C29:H29)</f>
        <v>978.16305</v>
      </c>
      <c r="J29" s="112">
        <f>I29*4</f>
        <v>3912.6522</v>
      </c>
      <c r="K29" s="106">
        <v>0</v>
      </c>
      <c r="L29" s="106">
        <f>'TAS Apr 2018'!AY6</f>
        <v>0</v>
      </c>
      <c r="M29" s="106">
        <f>'TAS Apr 2018'!AZ6</f>
        <v>0</v>
      </c>
      <c r="N29" s="106">
        <f>'TAS Apr 2018'!BA6</f>
        <v>0</v>
      </c>
      <c r="O29" s="112">
        <f>J29</f>
        <v>3912.6522</v>
      </c>
      <c r="P29" s="112">
        <f>O29-(O29*M29/100)</f>
        <v>3912.6522</v>
      </c>
      <c r="Q29" s="112">
        <f>O29*1.1</f>
        <v>4303.9174200000007</v>
      </c>
      <c r="R29" s="112">
        <f>P29*1.1</f>
        <v>4303.9174200000007</v>
      </c>
      <c r="S29" s="113">
        <f>'TAS Apr 2018'!BH6</f>
        <v>0</v>
      </c>
      <c r="T29" s="114">
        <f>'TAS Apr 2018'!BI6</f>
        <v>0</v>
      </c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</row>
    <row r="30" spans="1:611" s="94" customFormat="1" ht="15" thickBot="1" x14ac:dyDescent="0.2">
      <c r="A30" s="136" t="str">
        <f>'TAS Apr 2018'!K7</f>
        <v>ERM Power</v>
      </c>
      <c r="B30" s="143" t="str">
        <f>'TAS Apr 2018'!L7</f>
        <v>Adjustable</v>
      </c>
      <c r="C30" s="116">
        <f>91*'TAS Apr 2018'!M7/100</f>
        <v>106.47</v>
      </c>
      <c r="D30" s="116">
        <f>($C$23*$C$24)*'TAS Apr 2018'!N7/100</f>
        <v>377.85</v>
      </c>
      <c r="E30" s="116">
        <v>0</v>
      </c>
      <c r="F30" s="117">
        <v>0</v>
      </c>
      <c r="G30" s="118">
        <f>($C$23*$C$25)*'TAS Apr 2018'!AI7/100</f>
        <v>375.2</v>
      </c>
      <c r="H30" s="119">
        <f>($C$23*$C$26)*'TAS Apr 2018'!W7/100</f>
        <v>196.5</v>
      </c>
      <c r="I30" s="120">
        <f>SUM(C30:H30)</f>
        <v>1056.02</v>
      </c>
      <c r="J30" s="121">
        <f t="shared" ref="J30" si="3">I30*4</f>
        <v>4224.08</v>
      </c>
      <c r="K30" s="115">
        <v>0</v>
      </c>
      <c r="L30" s="115">
        <f>'TAS Apr 2018'!AY7</f>
        <v>0</v>
      </c>
      <c r="M30" s="115">
        <f>'TAS Apr 2018'!AZ7</f>
        <v>0</v>
      </c>
      <c r="N30" s="115">
        <f>'TAS Apr 2018'!BA7</f>
        <v>0</v>
      </c>
      <c r="O30" s="121">
        <f>J30-((I30-C30)*L30/100)*4</f>
        <v>4224.08</v>
      </c>
      <c r="P30" s="121">
        <f>O30-(O30*M30/100)</f>
        <v>4224.08</v>
      </c>
      <c r="Q30" s="121">
        <f>O30*1.1</f>
        <v>4646.4880000000003</v>
      </c>
      <c r="R30" s="121">
        <f>P30*1.1</f>
        <v>4646.4880000000003</v>
      </c>
      <c r="S30" s="122">
        <f>'TAS Apr 2018'!BH7</f>
        <v>0</v>
      </c>
      <c r="T30" s="123">
        <f>'TAS Apr 2018'!BI7</f>
        <v>0</v>
      </c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</row>
    <row r="31" spans="1:611" s="97" customFormat="1" ht="14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</row>
    <row r="32" spans="1:611" s="97" customFormat="1" ht="14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</row>
    <row r="33" spans="1:49" s="97" customFormat="1" ht="14" x14ac:dyDescent="0.1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</row>
    <row r="34" spans="1:49" s="97" customFormat="1" ht="14" x14ac:dyDescent="0.1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</row>
    <row r="35" spans="1:49" s="97" customFormat="1" ht="14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</row>
    <row r="36" spans="1:49" s="97" customFormat="1" ht="14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</row>
    <row r="37" spans="1:49" s="97" customFormat="1" ht="14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</row>
    <row r="38" spans="1:49" s="97" customFormat="1" ht="14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</row>
    <row r="39" spans="1:49" s="97" customFormat="1" ht="14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</row>
    <row r="40" spans="1:49" s="97" customFormat="1" ht="14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</row>
    <row r="41" spans="1:49" s="97" customFormat="1" ht="14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</row>
    <row r="42" spans="1:49" s="97" customFormat="1" ht="14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</row>
    <row r="43" spans="1:49" s="97" customFormat="1" ht="14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</row>
    <row r="44" spans="1:49" s="97" customFormat="1" ht="14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</row>
    <row r="45" spans="1:49" s="97" customFormat="1" ht="1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</row>
    <row r="46" spans="1:49" s="97" customFormat="1" ht="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</row>
    <row r="47" spans="1:49" s="97" customFormat="1" ht="1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</row>
    <row r="48" spans="1:49" s="97" customFormat="1" ht="1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</row>
    <row r="49" spans="1:49" s="97" customFormat="1" ht="1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</row>
    <row r="50" spans="1:49" s="97" customFormat="1" ht="1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</row>
    <row r="51" spans="1:49" s="97" customFormat="1" ht="1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</row>
    <row r="52" spans="1:49" s="97" customFormat="1" ht="1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</row>
    <row r="53" spans="1:49" s="97" customFormat="1" ht="1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</row>
    <row r="54" spans="1:49" s="97" customFormat="1" ht="14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</row>
    <row r="55" spans="1:49" s="97" customFormat="1" ht="14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</row>
    <row r="56" spans="1:49" s="97" customFormat="1" ht="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</row>
    <row r="57" spans="1:49" s="97" customFormat="1" ht="14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</row>
    <row r="58" spans="1:49" s="97" customFormat="1" ht="1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</row>
    <row r="59" spans="1:49" s="97" customFormat="1" ht="14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</row>
    <row r="60" spans="1:49" s="97" customFormat="1" ht="14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</row>
    <row r="61" spans="1:49" s="97" customFormat="1" ht="14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</row>
    <row r="62" spans="1:49" s="97" customFormat="1" ht="14" x14ac:dyDescent="0.1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</row>
    <row r="63" spans="1:49" s="97" customFormat="1" ht="14" x14ac:dyDescent="0.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</row>
    <row r="64" spans="1:49" s="97" customFormat="1" ht="14" x14ac:dyDescent="0.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</row>
    <row r="65" spans="1:49" s="97" customFormat="1" ht="14" x14ac:dyDescent="0.1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</row>
    <row r="66" spans="1:49" s="97" customFormat="1" ht="14" x14ac:dyDescent="0.1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</row>
    <row r="67" spans="1:49" s="97" customFormat="1" ht="14" x14ac:dyDescent="0.1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</row>
    <row r="68" spans="1:49" s="97" customFormat="1" ht="14" x14ac:dyDescent="0.1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</row>
    <row r="69" spans="1:49" s="97" customFormat="1" ht="14" x14ac:dyDescent="0.1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</row>
    <row r="70" spans="1:49" s="97" customFormat="1" ht="14" x14ac:dyDescent="0.1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</row>
    <row r="71" spans="1:49" s="97" customFormat="1" ht="14" x14ac:dyDescent="0.1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</row>
    <row r="72" spans="1:49" s="97" customFormat="1" ht="14" x14ac:dyDescent="0.1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</row>
    <row r="73" spans="1:49" s="97" customFormat="1" ht="14" x14ac:dyDescent="0.1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</row>
    <row r="74" spans="1:49" s="97" customFormat="1" ht="14" x14ac:dyDescent="0.1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</row>
    <row r="75" spans="1:49" s="97" customFormat="1" x14ac:dyDescent="0.15"/>
    <row r="76" spans="1:49" s="97" customFormat="1" x14ac:dyDescent="0.15"/>
    <row r="77" spans="1:49" s="97" customFormat="1" x14ac:dyDescent="0.15"/>
    <row r="78" spans="1:49" s="97" customFormat="1" x14ac:dyDescent="0.15"/>
    <row r="79" spans="1:49" s="97" customFormat="1" x14ac:dyDescent="0.15"/>
    <row r="80" spans="1:49" s="97" customFormat="1" x14ac:dyDescent="0.15"/>
    <row r="81" s="97" customFormat="1" x14ac:dyDescent="0.15"/>
    <row r="82" s="97" customFormat="1" x14ac:dyDescent="0.15"/>
    <row r="83" s="97" customFormat="1" x14ac:dyDescent="0.15"/>
    <row r="84" s="97" customFormat="1" x14ac:dyDescent="0.15"/>
    <row r="85" s="97" customFormat="1" x14ac:dyDescent="0.15"/>
    <row r="86" s="97" customFormat="1" x14ac:dyDescent="0.15"/>
    <row r="87" s="97" customFormat="1" x14ac:dyDescent="0.15"/>
    <row r="88" s="97" customFormat="1" x14ac:dyDescent="0.15"/>
    <row r="89" s="97" customFormat="1" x14ac:dyDescent="0.15"/>
    <row r="90" s="97" customFormat="1" x14ac:dyDescent="0.15"/>
    <row r="91" s="97" customFormat="1" x14ac:dyDescent="0.15"/>
    <row r="92" s="97" customFormat="1" x14ac:dyDescent="0.15"/>
    <row r="93" s="97" customFormat="1" x14ac:dyDescent="0.15"/>
    <row r="94" s="97" customFormat="1" x14ac:dyDescent="0.15"/>
    <row r="95" s="97" customFormat="1" x14ac:dyDescent="0.15"/>
    <row r="96" s="97" customFormat="1" x14ac:dyDescent="0.15"/>
    <row r="97" s="97" customFormat="1" x14ac:dyDescent="0.15"/>
    <row r="98" s="97" customFormat="1" x14ac:dyDescent="0.15"/>
    <row r="99" s="97" customFormat="1" x14ac:dyDescent="0.15"/>
    <row r="100" s="97" customFormat="1" x14ac:dyDescent="0.15"/>
    <row r="101" s="97" customFormat="1" x14ac:dyDescent="0.15"/>
    <row r="102" s="97" customFormat="1" x14ac:dyDescent="0.15"/>
    <row r="103" s="97" customFormat="1" x14ac:dyDescent="0.15"/>
    <row r="104" s="97" customFormat="1" x14ac:dyDescent="0.15"/>
    <row r="105" s="97" customFormat="1" x14ac:dyDescent="0.15"/>
    <row r="106" s="97" customFormat="1" x14ac:dyDescent="0.15"/>
    <row r="107" s="97" customFormat="1" x14ac:dyDescent="0.15"/>
    <row r="108" s="97" customFormat="1" x14ac:dyDescent="0.15"/>
    <row r="109" s="97" customFormat="1" x14ac:dyDescent="0.15"/>
    <row r="110" s="97" customFormat="1" x14ac:dyDescent="0.15"/>
    <row r="111" s="97" customFormat="1" x14ac:dyDescent="0.15"/>
    <row r="112" s="97" customFormat="1" x14ac:dyDescent="0.15"/>
    <row r="113" s="97" customFormat="1" x14ac:dyDescent="0.15"/>
    <row r="114" s="97" customFormat="1" x14ac:dyDescent="0.15"/>
    <row r="115" s="97" customFormat="1" x14ac:dyDescent="0.15"/>
    <row r="116" s="97" customFormat="1" x14ac:dyDescent="0.15"/>
    <row r="117" s="97" customFormat="1" x14ac:dyDescent="0.15"/>
    <row r="118" s="97" customFormat="1" x14ac:dyDescent="0.15"/>
    <row r="119" s="97" customFormat="1" x14ac:dyDescent="0.15"/>
    <row r="120" s="97" customFormat="1" x14ac:dyDescent="0.15"/>
    <row r="121" s="97" customFormat="1" x14ac:dyDescent="0.15"/>
    <row r="122" s="97" customFormat="1" x14ac:dyDescent="0.15"/>
    <row r="123" s="97" customFormat="1" x14ac:dyDescent="0.15"/>
    <row r="124" s="97" customFormat="1" x14ac:dyDescent="0.15"/>
    <row r="125" s="97" customFormat="1" x14ac:dyDescent="0.15"/>
    <row r="126" s="97" customFormat="1" x14ac:dyDescent="0.15"/>
    <row r="127" s="97" customFormat="1" x14ac:dyDescent="0.15"/>
    <row r="128" s="97" customFormat="1" x14ac:dyDescent="0.15"/>
    <row r="129" s="97" customFormat="1" x14ac:dyDescent="0.15"/>
    <row r="130" s="97" customFormat="1" x14ac:dyDescent="0.15"/>
    <row r="131" s="97" customFormat="1" x14ac:dyDescent="0.15"/>
    <row r="132" s="97" customFormat="1" x14ac:dyDescent="0.15"/>
    <row r="133" s="97" customFormat="1" x14ac:dyDescent="0.15"/>
    <row r="134" s="97" customFormat="1" x14ac:dyDescent="0.15"/>
    <row r="135" s="97" customFormat="1" x14ac:dyDescent="0.15"/>
    <row r="136" s="97" customFormat="1" x14ac:dyDescent="0.15"/>
    <row r="137" s="97" customFormat="1" x14ac:dyDescent="0.15"/>
    <row r="138" s="97" customFormat="1" x14ac:dyDescent="0.15"/>
    <row r="139" s="97" customFormat="1" x14ac:dyDescent="0.15"/>
    <row r="140" s="97" customFormat="1" x14ac:dyDescent="0.15"/>
    <row r="141" s="97" customFormat="1" x14ac:dyDescent="0.15"/>
    <row r="142" s="97" customFormat="1" x14ac:dyDescent="0.15"/>
    <row r="143" s="97" customFormat="1" x14ac:dyDescent="0.15"/>
    <row r="144" s="97" customFormat="1" x14ac:dyDescent="0.15"/>
    <row r="145" s="97" customFormat="1" x14ac:dyDescent="0.15"/>
    <row r="146" s="97" customFormat="1" x14ac:dyDescent="0.15"/>
    <row r="147" s="97" customFormat="1" x14ac:dyDescent="0.15"/>
    <row r="148" s="97" customFormat="1" x14ac:dyDescent="0.15"/>
    <row r="149" s="97" customFormat="1" x14ac:dyDescent="0.15"/>
    <row r="150" s="97" customFormat="1" x14ac:dyDescent="0.15"/>
    <row r="151" s="97" customFormat="1" x14ac:dyDescent="0.15"/>
    <row r="152" s="97" customFormat="1" x14ac:dyDescent="0.15"/>
    <row r="153" s="97" customFormat="1" x14ac:dyDescent="0.15"/>
    <row r="154" s="97" customFormat="1" x14ac:dyDescent="0.15"/>
    <row r="155" s="97" customFormat="1" x14ac:dyDescent="0.15"/>
    <row r="156" s="97" customFormat="1" x14ac:dyDescent="0.15"/>
    <row r="157" s="97" customFormat="1" x14ac:dyDescent="0.15"/>
    <row r="158" s="97" customFormat="1" x14ac:dyDescent="0.15"/>
    <row r="159" s="97" customFormat="1" x14ac:dyDescent="0.15"/>
    <row r="160" s="97" customFormat="1" x14ac:dyDescent="0.15"/>
    <row r="161" s="97" customFormat="1" x14ac:dyDescent="0.15"/>
    <row r="162" s="97" customFormat="1" x14ac:dyDescent="0.15"/>
    <row r="163" s="97" customFormat="1" x14ac:dyDescent="0.15"/>
    <row r="164" s="97" customFormat="1" x14ac:dyDescent="0.15"/>
    <row r="165" s="97" customFormat="1" x14ac:dyDescent="0.15"/>
    <row r="166" s="97" customFormat="1" x14ac:dyDescent="0.15"/>
    <row r="167" s="97" customFormat="1" x14ac:dyDescent="0.15"/>
    <row r="168" s="97" customFormat="1" x14ac:dyDescent="0.15"/>
    <row r="169" s="97" customFormat="1" x14ac:dyDescent="0.15"/>
    <row r="170" s="97" customFormat="1" x14ac:dyDescent="0.15"/>
    <row r="171" s="97" customFormat="1" x14ac:dyDescent="0.15"/>
    <row r="172" s="97" customFormat="1" x14ac:dyDescent="0.15"/>
    <row r="173" s="97" customFormat="1" x14ac:dyDescent="0.15"/>
    <row r="174" s="97" customFormat="1" x14ac:dyDescent="0.15"/>
    <row r="175" s="97" customFormat="1" x14ac:dyDescent="0.15"/>
    <row r="176" s="97" customFormat="1" x14ac:dyDescent="0.15"/>
    <row r="177" s="97" customFormat="1" x14ac:dyDescent="0.15"/>
    <row r="178" s="97" customFormat="1" x14ac:dyDescent="0.15"/>
    <row r="179" s="97" customFormat="1" x14ac:dyDescent="0.15"/>
    <row r="180" s="97" customFormat="1" x14ac:dyDescent="0.15"/>
    <row r="181" s="97" customFormat="1" x14ac:dyDescent="0.15"/>
    <row r="182" s="97" customFormat="1" x14ac:dyDescent="0.15"/>
    <row r="183" s="97" customFormat="1" x14ac:dyDescent="0.15"/>
    <row r="184" s="97" customFormat="1" x14ac:dyDescent="0.15"/>
    <row r="185" s="97" customFormat="1" x14ac:dyDescent="0.15"/>
    <row r="186" s="97" customFormat="1" x14ac:dyDescent="0.15"/>
    <row r="187" s="97" customFormat="1" x14ac:dyDescent="0.15"/>
    <row r="188" s="97" customFormat="1" x14ac:dyDescent="0.15"/>
    <row r="189" s="97" customFormat="1" x14ac:dyDescent="0.15"/>
    <row r="190" s="97" customFormat="1" x14ac:dyDescent="0.15"/>
    <row r="191" s="97" customFormat="1" x14ac:dyDescent="0.15"/>
    <row r="192" s="97" customFormat="1" x14ac:dyDescent="0.15"/>
    <row r="193" s="97" customFormat="1" x14ac:dyDescent="0.15"/>
    <row r="194" s="97" customFormat="1" x14ac:dyDescent="0.15"/>
    <row r="195" s="97" customFormat="1" x14ac:dyDescent="0.15"/>
    <row r="196" s="97" customFormat="1" x14ac:dyDescent="0.15"/>
    <row r="197" s="97" customFormat="1" x14ac:dyDescent="0.15"/>
    <row r="198" s="97" customFormat="1" x14ac:dyDescent="0.15"/>
    <row r="199" s="97" customFormat="1" x14ac:dyDescent="0.15"/>
    <row r="200" s="97" customFormat="1" x14ac:dyDescent="0.15"/>
    <row r="201" s="97" customFormat="1" x14ac:dyDescent="0.15"/>
    <row r="202" s="97" customFormat="1" x14ac:dyDescent="0.15"/>
    <row r="203" s="97" customFormat="1" x14ac:dyDescent="0.15"/>
    <row r="204" s="97" customFormat="1" x14ac:dyDescent="0.15"/>
    <row r="205" s="97" customFormat="1" x14ac:dyDescent="0.15"/>
    <row r="206" s="97" customFormat="1" x14ac:dyDescent="0.15"/>
    <row r="207" s="97" customFormat="1" x14ac:dyDescent="0.15"/>
    <row r="208" s="97" customFormat="1" x14ac:dyDescent="0.15"/>
    <row r="209" s="97" customFormat="1" x14ac:dyDescent="0.15"/>
    <row r="210" s="97" customFormat="1" x14ac:dyDescent="0.15"/>
    <row r="211" s="97" customFormat="1" x14ac:dyDescent="0.15"/>
    <row r="212" s="97" customFormat="1" x14ac:dyDescent="0.15"/>
    <row r="213" s="97" customFormat="1" x14ac:dyDescent="0.15"/>
    <row r="214" s="97" customFormat="1" x14ac:dyDescent="0.15"/>
    <row r="215" s="97" customFormat="1" x14ac:dyDescent="0.15"/>
    <row r="216" s="97" customFormat="1" x14ac:dyDescent="0.15"/>
    <row r="217" s="97" customFormat="1" x14ac:dyDescent="0.15"/>
    <row r="218" s="97" customFormat="1" x14ac:dyDescent="0.15"/>
    <row r="219" s="97" customFormat="1" x14ac:dyDescent="0.15"/>
    <row r="220" s="97" customFormat="1" x14ac:dyDescent="0.15"/>
    <row r="221" s="97" customFormat="1" x14ac:dyDescent="0.15"/>
    <row r="222" s="97" customFormat="1" x14ac:dyDescent="0.15"/>
    <row r="223" s="97" customFormat="1" x14ac:dyDescent="0.15"/>
    <row r="224" s="97" customFormat="1" x14ac:dyDescent="0.15"/>
    <row r="225" s="97" customFormat="1" x14ac:dyDescent="0.15"/>
    <row r="226" s="97" customFormat="1" x14ac:dyDescent="0.15"/>
    <row r="227" s="97" customFormat="1" x14ac:dyDescent="0.15"/>
    <row r="228" s="97" customFormat="1" x14ac:dyDescent="0.15"/>
    <row r="229" s="97" customFormat="1" x14ac:dyDescent="0.15"/>
    <row r="230" s="97" customFormat="1" x14ac:dyDescent="0.15"/>
    <row r="231" s="97" customFormat="1" x14ac:dyDescent="0.15"/>
    <row r="232" s="97" customFormat="1" x14ac:dyDescent="0.15"/>
    <row r="233" s="97" customFormat="1" x14ac:dyDescent="0.15"/>
    <row r="234" s="97" customFormat="1" x14ac:dyDescent="0.15"/>
    <row r="235" s="97" customFormat="1" x14ac:dyDescent="0.15"/>
    <row r="236" s="97" customFormat="1" x14ac:dyDescent="0.15"/>
    <row r="237" s="97" customFormat="1" x14ac:dyDescent="0.15"/>
    <row r="238" s="97" customFormat="1" x14ac:dyDescent="0.15"/>
    <row r="239" s="97" customFormat="1" x14ac:dyDescent="0.15"/>
    <row r="240" s="97" customFormat="1" x14ac:dyDescent="0.15"/>
    <row r="241" s="97" customFormat="1" x14ac:dyDescent="0.15"/>
    <row r="242" s="97" customFormat="1" x14ac:dyDescent="0.15"/>
    <row r="243" s="97" customFormat="1" x14ac:dyDescent="0.15"/>
    <row r="244" s="97" customFormat="1" x14ac:dyDescent="0.15"/>
    <row r="245" s="97" customFormat="1" x14ac:dyDescent="0.15"/>
    <row r="246" s="97" customFormat="1" x14ac:dyDescent="0.15"/>
    <row r="247" s="97" customFormat="1" x14ac:dyDescent="0.15"/>
    <row r="248" s="97" customFormat="1" x14ac:dyDescent="0.15"/>
    <row r="249" s="97" customFormat="1" x14ac:dyDescent="0.15"/>
    <row r="250" s="97" customFormat="1" x14ac:dyDescent="0.15"/>
    <row r="251" s="97" customFormat="1" x14ac:dyDescent="0.15"/>
    <row r="252" s="97" customFormat="1" x14ac:dyDescent="0.15"/>
    <row r="253" s="97" customFormat="1" x14ac:dyDescent="0.15"/>
    <row r="254" s="97" customFormat="1" x14ac:dyDescent="0.15"/>
    <row r="255" s="97" customFormat="1" x14ac:dyDescent="0.15"/>
    <row r="256" s="97" customFormat="1" x14ac:dyDescent="0.15"/>
    <row r="257" s="97" customFormat="1" x14ac:dyDescent="0.15"/>
    <row r="258" s="97" customFormat="1" x14ac:dyDescent="0.15"/>
    <row r="259" s="97" customFormat="1" x14ac:dyDescent="0.15"/>
    <row r="260" s="97" customFormat="1" x14ac:dyDescent="0.15"/>
    <row r="261" s="97" customFormat="1" x14ac:dyDescent="0.15"/>
    <row r="262" s="97" customFormat="1" x14ac:dyDescent="0.15"/>
    <row r="263" s="97" customFormat="1" x14ac:dyDescent="0.15"/>
    <row r="264" s="97" customFormat="1" x14ac:dyDescent="0.15"/>
    <row r="265" s="97" customFormat="1" x14ac:dyDescent="0.15"/>
    <row r="266" s="97" customFormat="1" x14ac:dyDescent="0.15"/>
    <row r="267" s="97" customFormat="1" x14ac:dyDescent="0.15"/>
    <row r="268" s="97" customFormat="1" x14ac:dyDescent="0.15"/>
    <row r="269" s="97" customFormat="1" x14ac:dyDescent="0.15"/>
    <row r="270" s="97" customFormat="1" x14ac:dyDescent="0.15"/>
    <row r="271" s="97" customFormat="1" x14ac:dyDescent="0.15"/>
    <row r="272" s="97" customFormat="1" x14ac:dyDescent="0.15"/>
    <row r="273" s="97" customFormat="1" x14ac:dyDescent="0.15"/>
    <row r="274" s="97" customFormat="1" x14ac:dyDescent="0.15"/>
    <row r="275" s="97" customFormat="1" x14ac:dyDescent="0.15"/>
    <row r="276" s="97" customFormat="1" x14ac:dyDescent="0.15"/>
    <row r="277" s="97" customFormat="1" x14ac:dyDescent="0.15"/>
    <row r="278" s="97" customFormat="1" x14ac:dyDescent="0.15"/>
    <row r="279" s="97" customFormat="1" x14ac:dyDescent="0.15"/>
    <row r="280" s="97" customFormat="1" x14ac:dyDescent="0.15"/>
    <row r="281" s="97" customFormat="1" x14ac:dyDescent="0.15"/>
    <row r="282" s="97" customFormat="1" x14ac:dyDescent="0.15"/>
    <row r="283" s="97" customFormat="1" x14ac:dyDescent="0.15"/>
    <row r="284" s="97" customFormat="1" x14ac:dyDescent="0.15"/>
    <row r="285" s="97" customFormat="1" x14ac:dyDescent="0.15"/>
    <row r="286" s="97" customFormat="1" x14ac:dyDescent="0.15"/>
    <row r="287" s="97" customFormat="1" x14ac:dyDescent="0.15"/>
    <row r="288" s="97" customFormat="1" x14ac:dyDescent="0.15"/>
    <row r="289" s="97" customFormat="1" x14ac:dyDescent="0.15"/>
    <row r="290" s="97" customFormat="1" x14ac:dyDescent="0.15"/>
    <row r="291" s="97" customFormat="1" x14ac:dyDescent="0.15"/>
    <row r="292" s="97" customFormat="1" x14ac:dyDescent="0.15"/>
    <row r="293" s="97" customFormat="1" x14ac:dyDescent="0.15"/>
    <row r="294" s="97" customFormat="1" x14ac:dyDescent="0.15"/>
    <row r="295" s="97" customFormat="1" x14ac:dyDescent="0.15"/>
    <row r="296" s="97" customFormat="1" x14ac:dyDescent="0.15"/>
    <row r="297" s="97" customFormat="1" x14ac:dyDescent="0.15"/>
    <row r="298" s="97" customFormat="1" x14ac:dyDescent="0.15"/>
    <row r="299" s="97" customFormat="1" x14ac:dyDescent="0.15"/>
    <row r="300" s="97" customFormat="1" x14ac:dyDescent="0.15"/>
    <row r="301" s="97" customFormat="1" x14ac:dyDescent="0.15"/>
    <row r="302" s="97" customFormat="1" x14ac:dyDescent="0.15"/>
    <row r="303" s="97" customFormat="1" x14ac:dyDescent="0.15"/>
    <row r="304" s="97" customFormat="1" x14ac:dyDescent="0.15"/>
    <row r="305" s="97" customFormat="1" x14ac:dyDescent="0.15"/>
    <row r="306" s="97" customFormat="1" x14ac:dyDescent="0.15"/>
    <row r="307" s="97" customFormat="1" x14ac:dyDescent="0.15"/>
    <row r="308" s="97" customFormat="1" x14ac:dyDescent="0.15"/>
    <row r="309" s="97" customFormat="1" x14ac:dyDescent="0.15"/>
    <row r="310" s="97" customFormat="1" x14ac:dyDescent="0.15"/>
    <row r="311" s="97" customFormat="1" x14ac:dyDescent="0.15"/>
    <row r="312" s="97" customFormat="1" x14ac:dyDescent="0.15"/>
    <row r="313" s="97" customFormat="1" x14ac:dyDescent="0.15"/>
    <row r="314" s="97" customFormat="1" x14ac:dyDescent="0.15"/>
    <row r="315" s="97" customFormat="1" x14ac:dyDescent="0.15"/>
    <row r="316" s="97" customFormat="1" x14ac:dyDescent="0.15"/>
    <row r="317" s="97" customFormat="1" x14ac:dyDescent="0.15"/>
    <row r="318" s="97" customFormat="1" x14ac:dyDescent="0.15"/>
    <row r="319" s="97" customFormat="1" x14ac:dyDescent="0.15"/>
    <row r="320" s="97" customFormat="1" x14ac:dyDescent="0.15"/>
    <row r="321" s="97" customFormat="1" x14ac:dyDescent="0.15"/>
    <row r="322" s="97" customFormat="1" x14ac:dyDescent="0.15"/>
    <row r="323" s="97" customFormat="1" x14ac:dyDescent="0.15"/>
    <row r="324" s="97" customFormat="1" x14ac:dyDescent="0.15"/>
    <row r="325" s="97" customFormat="1" x14ac:dyDescent="0.15"/>
    <row r="326" s="97" customFormat="1" x14ac:dyDescent="0.15"/>
    <row r="327" s="97" customFormat="1" x14ac:dyDescent="0.15"/>
    <row r="328" s="97" customFormat="1" x14ac:dyDescent="0.15"/>
    <row r="329" s="97" customFormat="1" x14ac:dyDescent="0.15"/>
    <row r="330" s="97" customFormat="1" x14ac:dyDescent="0.15"/>
    <row r="331" s="97" customFormat="1" x14ac:dyDescent="0.15"/>
    <row r="332" s="97" customFormat="1" x14ac:dyDescent="0.15"/>
    <row r="333" s="97" customFormat="1" x14ac:dyDescent="0.15"/>
    <row r="334" s="97" customFormat="1" x14ac:dyDescent="0.15"/>
    <row r="335" s="97" customFormat="1" x14ac:dyDescent="0.15"/>
    <row r="336" s="97" customFormat="1" x14ac:dyDescent="0.15"/>
    <row r="337" s="97" customFormat="1" x14ac:dyDescent="0.15"/>
    <row r="338" s="97" customFormat="1" x14ac:dyDescent="0.15"/>
    <row r="339" s="97" customFormat="1" x14ac:dyDescent="0.15"/>
    <row r="340" s="97" customFormat="1" x14ac:dyDescent="0.15"/>
    <row r="341" s="97" customFormat="1" x14ac:dyDescent="0.15"/>
    <row r="342" s="97" customFormat="1" x14ac:dyDescent="0.15"/>
    <row r="343" s="97" customFormat="1" x14ac:dyDescent="0.15"/>
    <row r="344" s="97" customFormat="1" x14ac:dyDescent="0.15"/>
    <row r="345" s="97" customFormat="1" x14ac:dyDescent="0.15"/>
    <row r="346" s="97" customFormat="1" x14ac:dyDescent="0.15"/>
    <row r="347" s="97" customFormat="1" x14ac:dyDescent="0.15"/>
    <row r="348" s="97" customFormat="1" x14ac:dyDescent="0.15"/>
    <row r="349" s="97" customFormat="1" x14ac:dyDescent="0.15"/>
    <row r="350" s="97" customFormat="1" x14ac:dyDescent="0.15"/>
    <row r="351" s="97" customFormat="1" x14ac:dyDescent="0.15"/>
    <row r="352" s="97" customFormat="1" x14ac:dyDescent="0.15"/>
    <row r="353" s="97" customFormat="1" x14ac:dyDescent="0.15"/>
    <row r="354" s="97" customFormat="1" x14ac:dyDescent="0.15"/>
    <row r="355" s="97" customFormat="1" x14ac:dyDescent="0.15"/>
    <row r="356" s="97" customFormat="1" x14ac:dyDescent="0.15"/>
    <row r="357" s="97" customFormat="1" x14ac:dyDescent="0.15"/>
    <row r="358" s="97" customFormat="1" x14ac:dyDescent="0.15"/>
    <row r="359" s="97" customFormat="1" x14ac:dyDescent="0.15"/>
    <row r="360" s="97" customFormat="1" x14ac:dyDescent="0.15"/>
    <row r="361" s="97" customFormat="1" x14ac:dyDescent="0.15"/>
    <row r="362" s="97" customFormat="1" x14ac:dyDescent="0.15"/>
    <row r="363" s="97" customFormat="1" x14ac:dyDescent="0.15"/>
    <row r="364" s="97" customFormat="1" x14ac:dyDescent="0.15"/>
    <row r="365" s="97" customFormat="1" x14ac:dyDescent="0.15"/>
    <row r="366" s="97" customFormat="1" x14ac:dyDescent="0.15"/>
    <row r="367" s="97" customFormat="1" x14ac:dyDescent="0.15"/>
    <row r="368" s="97" customFormat="1" x14ac:dyDescent="0.15"/>
    <row r="369" s="97" customFormat="1" x14ac:dyDescent="0.15"/>
    <row r="370" s="97" customFormat="1" x14ac:dyDescent="0.15"/>
    <row r="371" s="97" customFormat="1" x14ac:dyDescent="0.15"/>
    <row r="372" s="97" customFormat="1" x14ac:dyDescent="0.15"/>
    <row r="373" s="97" customFormat="1" x14ac:dyDescent="0.15"/>
    <row r="374" s="97" customFormat="1" x14ac:dyDescent="0.15"/>
    <row r="375" s="97" customFormat="1" x14ac:dyDescent="0.15"/>
    <row r="376" s="97" customFormat="1" x14ac:dyDescent="0.15"/>
    <row r="377" s="97" customFormat="1" x14ac:dyDescent="0.15"/>
    <row r="378" s="97" customFormat="1" x14ac:dyDescent="0.15"/>
    <row r="379" s="97" customFormat="1" x14ac:dyDescent="0.15"/>
    <row r="380" s="97" customFormat="1" x14ac:dyDescent="0.15"/>
    <row r="381" s="97" customFormat="1" x14ac:dyDescent="0.15"/>
    <row r="382" s="97" customFormat="1" x14ac:dyDescent="0.15"/>
    <row r="383" s="97" customFormat="1" x14ac:dyDescent="0.15"/>
    <row r="384" s="97" customFormat="1" x14ac:dyDescent="0.15"/>
    <row r="385" s="97" customFormat="1" x14ac:dyDescent="0.15"/>
    <row r="386" s="97" customFormat="1" x14ac:dyDescent="0.15"/>
    <row r="387" s="97" customFormat="1" x14ac:dyDescent="0.15"/>
    <row r="388" s="97" customFormat="1" x14ac:dyDescent="0.15"/>
    <row r="389" s="97" customFormat="1" x14ac:dyDescent="0.15"/>
    <row r="390" s="97" customFormat="1" x14ac:dyDescent="0.15"/>
    <row r="391" s="97" customFormat="1" x14ac:dyDescent="0.15"/>
    <row r="392" s="97" customFormat="1" x14ac:dyDescent="0.15"/>
    <row r="393" s="97" customFormat="1" x14ac:dyDescent="0.15"/>
    <row r="394" s="97" customFormat="1" x14ac:dyDescent="0.15"/>
    <row r="395" s="97" customFormat="1" x14ac:dyDescent="0.15"/>
    <row r="396" s="97" customFormat="1" x14ac:dyDescent="0.15"/>
    <row r="397" s="97" customFormat="1" x14ac:dyDescent="0.15"/>
    <row r="398" s="97" customFormat="1" x14ac:dyDescent="0.15"/>
    <row r="399" s="97" customFormat="1" x14ac:dyDescent="0.15"/>
    <row r="400" s="97" customFormat="1" x14ac:dyDescent="0.15"/>
    <row r="401" s="97" customFormat="1" x14ac:dyDescent="0.15"/>
    <row r="402" s="97" customFormat="1" x14ac:dyDescent="0.15"/>
    <row r="403" s="97" customFormat="1" x14ac:dyDescent="0.15"/>
    <row r="404" s="97" customFormat="1" x14ac:dyDescent="0.15"/>
    <row r="405" s="97" customFormat="1" x14ac:dyDescent="0.15"/>
  </sheetData>
  <sheetProtection algorithmName="SHA-512" hashValue="O4fFr7sx3sbsqdcHgZ3U9K0XeSRlHKe04pG/cSv/XQV58bqBIflc+KdkBIGAeFX1jRp0scDZmK0poBWLy8Engg==" saltValue="Y6Da7lW8QAfpJRL8TL5uog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WM310"/>
  <sheetViews>
    <sheetView zoomScaleNormal="100" zoomScalePageLayoutView="120" workbookViewId="0">
      <selection activeCell="I17" sqref="I17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80" customWidth="1"/>
    <col min="50" max="611" width="10.83203125" style="80"/>
    <col min="612" max="16384" width="10.83203125" style="48"/>
  </cols>
  <sheetData>
    <row r="1" spans="1:611" s="80" customFormat="1" ht="14" x14ac:dyDescent="0.15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1:611" s="80" customFormat="1" ht="14" x14ac:dyDescent="0.15">
      <c r="A2" s="81" t="s">
        <v>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</row>
    <row r="3" spans="1:611" s="80" customFormat="1" ht="15" thickBot="1" x14ac:dyDescent="0.2">
      <c r="A3" s="79"/>
      <c r="B3" s="79"/>
      <c r="C3" s="79"/>
      <c r="D3" s="79"/>
      <c r="E3" s="79"/>
      <c r="F3" s="79"/>
      <c r="G3" s="82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1:611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611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</row>
    <row r="6" spans="1:611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</row>
    <row r="7" spans="1:611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</row>
    <row r="8" spans="1:611" ht="14" x14ac:dyDescent="0.15">
      <c r="A8" s="54" t="str">
        <f>'TAS Oct 2017'!K2</f>
        <v>Aurora Energy</v>
      </c>
      <c r="B8" s="144" t="str">
        <f>'TAS Oct 2017'!L2</f>
        <v>Regulated</v>
      </c>
      <c r="C8" s="57">
        <f>91*'TAS Oct 2017'!M2/100</f>
        <v>82.628909999999991</v>
      </c>
      <c r="D8" s="57">
        <f>IF($C$5&gt;='TAS Oct 2017'!P2,('TAS Oct 2017'!P2*'TAS Oct 2017'!N2/100),('TAS Bills October 2017'!$C$5*'TAS Oct 2017'!N2/100))</f>
        <v>150.83500000000001</v>
      </c>
      <c r="E8" s="57">
        <v>0</v>
      </c>
      <c r="F8" s="58">
        <v>0</v>
      </c>
      <c r="G8" s="59">
        <v>0</v>
      </c>
      <c r="H8" s="60">
        <f>IF(($C$5&lt;'TAS Oct 2017'!P2),(0),('TAS Bills October 2017'!$C$5-'TAS Oct 2017'!P2)*'TAS Oct 2017'!Q2/100)</f>
        <v>1004.265</v>
      </c>
      <c r="I8" s="61">
        <f>SUM(C8:H8)</f>
        <v>1237.72891</v>
      </c>
      <c r="J8" s="62">
        <f>I8*4</f>
        <v>4950.9156400000002</v>
      </c>
      <c r="K8" s="63">
        <v>0</v>
      </c>
      <c r="L8" s="63">
        <f>'TAS Oct 2017'!AY2</f>
        <v>0</v>
      </c>
      <c r="M8" s="63">
        <f>'TAS Oct 2017'!AZ2</f>
        <v>0</v>
      </c>
      <c r="N8" s="63">
        <f>'TAS Oct 2017'!BA2</f>
        <v>0</v>
      </c>
      <c r="O8" s="62">
        <f>J8</f>
        <v>4950.9156400000002</v>
      </c>
      <c r="P8" s="62">
        <f>O8-(O8*M8/100)</f>
        <v>4950.9156400000002</v>
      </c>
      <c r="Q8" s="62">
        <f>O8*1.1</f>
        <v>5446.0072040000005</v>
      </c>
      <c r="R8" s="62">
        <f>P8*1.1</f>
        <v>5446.0072040000005</v>
      </c>
      <c r="S8" s="64">
        <f>'TAS Oct 2017'!BH2</f>
        <v>0</v>
      </c>
      <c r="T8" s="65">
        <f>'TAS Oct 2017'!BI2</f>
        <v>0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</row>
    <row r="9" spans="1:611" s="94" customFormat="1" ht="15" thickBot="1" x14ac:dyDescent="0.2">
      <c r="A9" s="84" t="str">
        <f>'TAS Oct 2017'!K3</f>
        <v>ERM Power</v>
      </c>
      <c r="B9" s="145" t="str">
        <f>'TAS Oct 2017'!L3</f>
        <v>Adjustable</v>
      </c>
      <c r="C9" s="85">
        <f>91*'TAS Oct 2017'!M3/100</f>
        <v>90.09</v>
      </c>
      <c r="D9" s="85">
        <f>C5*'TAS Oct 2017'!N3/100</f>
        <v>1343</v>
      </c>
      <c r="E9" s="85">
        <v>0</v>
      </c>
      <c r="F9" s="86">
        <v>0</v>
      </c>
      <c r="G9" s="87">
        <v>0</v>
      </c>
      <c r="H9" s="88">
        <v>0</v>
      </c>
      <c r="I9" s="89">
        <f t="shared" ref="I9" si="0">SUM(C9:H9)</f>
        <v>1433.09</v>
      </c>
      <c r="J9" s="90">
        <f t="shared" ref="J9" si="1">I9*4</f>
        <v>5732.36</v>
      </c>
      <c r="K9" s="91">
        <v>0</v>
      </c>
      <c r="L9" s="91">
        <f>'TAS Oct 2017'!AY3</f>
        <v>0</v>
      </c>
      <c r="M9" s="91">
        <f>'TAS Oct 2017'!AZ3</f>
        <v>0</v>
      </c>
      <c r="N9" s="91">
        <f>'TAS Oct 2017'!BA3</f>
        <v>0</v>
      </c>
      <c r="O9" s="90">
        <f>J9-((I9-C9)*L9/100)*4</f>
        <v>5732.36</v>
      </c>
      <c r="P9" s="90">
        <f>O9-(O9*M9/100)</f>
        <v>5732.36</v>
      </c>
      <c r="Q9" s="90">
        <f>O9*1.1</f>
        <v>6305.5960000000005</v>
      </c>
      <c r="R9" s="90">
        <f>P9*1.1</f>
        <v>6305.5960000000005</v>
      </c>
      <c r="S9" s="92">
        <f>'TAS Oct 2017'!BH3</f>
        <v>0</v>
      </c>
      <c r="T9" s="93">
        <f>'TAS Oct 2017'!BI3</f>
        <v>0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</row>
    <row r="10" spans="1:611" s="80" customFormat="1" ht="14" x14ac:dyDescent="0.15"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611" s="80" customFormat="1" ht="15" thickBot="1" x14ac:dyDescent="0.2"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611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611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611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611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611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611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24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28" t="s">
        <v>95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</row>
    <row r="18" spans="1:611" ht="14" x14ac:dyDescent="0.15">
      <c r="A18" s="54" t="str">
        <f>'TAS Oct 2017'!K4</f>
        <v>Aurora Energy</v>
      </c>
      <c r="B18" s="144" t="str">
        <f>'TAS Oct 2017'!L4</f>
        <v>Regulated</v>
      </c>
      <c r="C18" s="57">
        <f>91*'TAS Oct 2017'!M4/100</f>
        <v>97.442800000000005</v>
      </c>
      <c r="D18" s="57">
        <f>IF(($C$13*$C$14)&gt;='TAS Oct 2017'!P4,('TAS Oct 2017'!P4*'TAS Oct 2017'!N4/100),(('TAS Bills October 2017'!$C$13*'TAS Bills October 2017'!$C$14)*'TAS Oct 2017'!N4/100))</f>
        <v>150.83500000000001</v>
      </c>
      <c r="E18" s="57">
        <v>0</v>
      </c>
      <c r="F18" s="58">
        <v>0</v>
      </c>
      <c r="G18" s="59">
        <f>IF($C$13*$C$14&lt;'TAS Oct 2017'!P4,(0),((('TAS Bills October 2017'!$C$13*'TAS Bills October 2017'!$C$14)-('TAS Oct 2017'!P4))*'TAS Oct 2017'!Q4/100))</f>
        <v>669.51</v>
      </c>
      <c r="H18" s="57">
        <f>($C$13*$C$15)*'TAS Oct 2017'!AF4/100</f>
        <v>214.35</v>
      </c>
      <c r="I18" s="61">
        <f>SUM(C18:H18)</f>
        <v>1132.1378</v>
      </c>
      <c r="J18" s="62">
        <f>I18*4</f>
        <v>4528.5511999999999</v>
      </c>
      <c r="K18" s="63">
        <v>0</v>
      </c>
      <c r="L18" s="63">
        <f>'TAS Oct 2017'!AY4</f>
        <v>0</v>
      </c>
      <c r="M18" s="63">
        <f>'TAS Oct 2017'!AZ4</f>
        <v>0</v>
      </c>
      <c r="N18" s="63">
        <f>'TAS Oct 2017'!BA4</f>
        <v>0</v>
      </c>
      <c r="O18" s="62">
        <f>J18</f>
        <v>4528.5511999999999</v>
      </c>
      <c r="P18" s="62">
        <f>O18-(O18*M18/100)</f>
        <v>4528.5511999999999</v>
      </c>
      <c r="Q18" s="62">
        <f>O18*1.1</f>
        <v>4981.4063200000001</v>
      </c>
      <c r="R18" s="62">
        <f>P18*1.1</f>
        <v>4981.4063200000001</v>
      </c>
      <c r="S18" s="64">
        <f>'TAS Oct 2017'!BH4</f>
        <v>0</v>
      </c>
      <c r="T18" s="65">
        <f>'TAS Oct 2017'!BI4</f>
        <v>0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611" s="94" customFormat="1" ht="15" thickBot="1" x14ac:dyDescent="0.2">
      <c r="A19" s="84" t="str">
        <f>'TAS Oct 2017'!K5</f>
        <v>ERM Power</v>
      </c>
      <c r="B19" s="145" t="str">
        <f>'TAS Oct 2017'!L5</f>
        <v>Adjustable</v>
      </c>
      <c r="C19" s="85">
        <f>91*'TAS Oct 2017'!M5/100</f>
        <v>145.6</v>
      </c>
      <c r="D19" s="85">
        <f>(C13*C14)*'TAS Oct 2017'!N5/100</f>
        <v>941.15</v>
      </c>
      <c r="E19" s="85">
        <v>0</v>
      </c>
      <c r="F19" s="86">
        <v>0</v>
      </c>
      <c r="G19" s="87">
        <v>0</v>
      </c>
      <c r="H19" s="85">
        <f>($C$13*$C$15)*'TAS Oct 2017'!AF5/100</f>
        <v>276.45</v>
      </c>
      <c r="I19" s="89">
        <f>SUM(C19:H19)</f>
        <v>1363.2</v>
      </c>
      <c r="J19" s="90">
        <f t="shared" ref="J19" si="2">I19*4</f>
        <v>5452.8</v>
      </c>
      <c r="K19" s="91">
        <v>0</v>
      </c>
      <c r="L19" s="91">
        <f>'TAS Oct 2017'!AY5</f>
        <v>0</v>
      </c>
      <c r="M19" s="91">
        <f>'TAS Oct 2017'!AZ5</f>
        <v>0</v>
      </c>
      <c r="N19" s="91">
        <f>'TAS Oct 2017'!BA5</f>
        <v>0</v>
      </c>
      <c r="O19" s="90">
        <f>J19-((I19-C19)*L19/100)*4</f>
        <v>5452.8</v>
      </c>
      <c r="P19" s="90">
        <f>O19-(O19*M19/100)</f>
        <v>5452.8</v>
      </c>
      <c r="Q19" s="90">
        <f>O19*1.1</f>
        <v>5998.0800000000008</v>
      </c>
      <c r="R19" s="90">
        <f>P19*1.1</f>
        <v>5998.0800000000008</v>
      </c>
      <c r="S19" s="92">
        <f>'TAS Oct 2017'!BH5</f>
        <v>0</v>
      </c>
      <c r="T19" s="93">
        <f>'TAS Oct 2017'!BI5</f>
        <v>0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</row>
    <row r="20" spans="1:611" s="80" customFormat="1" ht="14" x14ac:dyDescent="0.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611" s="80" customFormat="1" ht="15" thickBo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2"/>
      <c r="P21" s="79"/>
      <c r="Q21" s="82"/>
      <c r="R21" s="82"/>
      <c r="S21" s="82"/>
      <c r="T21" s="79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</row>
    <row r="22" spans="1:611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</row>
    <row r="23" spans="1:611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</row>
    <row r="24" spans="1:611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</row>
    <row r="25" spans="1:611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</row>
    <row r="26" spans="1:611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</row>
    <row r="27" spans="1:611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</row>
    <row r="28" spans="1:611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28" t="s">
        <v>160</v>
      </c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</row>
    <row r="29" spans="1:611" ht="14" x14ac:dyDescent="0.15">
      <c r="A29" s="54" t="str">
        <f>'TAS Oct 2017'!K6</f>
        <v>Aurora Energy</v>
      </c>
      <c r="B29" s="144" t="str">
        <f>'TAS Oct 2017'!L6</f>
        <v>Regulated</v>
      </c>
      <c r="C29" s="57">
        <f>91*'TAS Oct 2017'!M6/100</f>
        <v>89.503050000000002</v>
      </c>
      <c r="D29" s="71">
        <f>($C$23*$C$24)*'TAS Oct 2017'!N6/100</f>
        <v>372.375</v>
      </c>
      <c r="E29" s="57">
        <v>0</v>
      </c>
      <c r="F29" s="57">
        <v>0</v>
      </c>
      <c r="G29" s="57">
        <f>($C$23*$C$25)*'TAS Oct 2017'!AI6/100</f>
        <v>358.86</v>
      </c>
      <c r="H29" s="57">
        <f>($C$23*$C$26)*'TAS Oct 2017'!W6/100</f>
        <v>157.42499999999998</v>
      </c>
      <c r="I29" s="61">
        <f>SUM(C29:H29)</f>
        <v>978.16305</v>
      </c>
      <c r="J29" s="62">
        <f>I29*4</f>
        <v>3912.6522</v>
      </c>
      <c r="K29" s="63">
        <v>0</v>
      </c>
      <c r="L29" s="63">
        <f>'TAS Oct 2017'!AY6</f>
        <v>0</v>
      </c>
      <c r="M29" s="63">
        <f>'TAS Oct 2017'!AZ6</f>
        <v>0</v>
      </c>
      <c r="N29" s="63">
        <f>'TAS Oct 2017'!BA6</f>
        <v>0</v>
      </c>
      <c r="O29" s="62">
        <f>J29</f>
        <v>3912.6522</v>
      </c>
      <c r="P29" s="62">
        <f>O29-(O29*M29/100)</f>
        <v>3912.6522</v>
      </c>
      <c r="Q29" s="62">
        <f>O29*1.1</f>
        <v>4303.9174200000007</v>
      </c>
      <c r="R29" s="62">
        <f>P29*1.1</f>
        <v>4303.9174200000007</v>
      </c>
      <c r="S29" s="64">
        <f>'TAS Oct 2017'!BH6</f>
        <v>0</v>
      </c>
      <c r="T29" s="65">
        <f>'TAS Oct 2017'!BI6</f>
        <v>0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</row>
    <row r="30" spans="1:611" s="94" customFormat="1" ht="15" thickBot="1" x14ac:dyDescent="0.2">
      <c r="A30" s="84" t="str">
        <f>'TAS Oct 2017'!K7</f>
        <v>ERM Power</v>
      </c>
      <c r="B30" s="145" t="str">
        <f>'TAS Oct 2017'!L7</f>
        <v>Adjustable</v>
      </c>
      <c r="C30" s="85">
        <f>91*'TAS Oct 2017'!M7/100</f>
        <v>104.65</v>
      </c>
      <c r="D30" s="95">
        <f>($C$23*$C$24)*'TAS Oct 2017'!N7/100</f>
        <v>450.9</v>
      </c>
      <c r="E30" s="85">
        <v>0</v>
      </c>
      <c r="F30" s="85">
        <v>0</v>
      </c>
      <c r="G30" s="85">
        <f>($C$23*$C$25)*'TAS Oct 2017'!AI7/100</f>
        <v>424.6</v>
      </c>
      <c r="H30" s="85">
        <f>($C$23*$C$26)*'TAS Oct 2017'!W7/100</f>
        <v>231.6</v>
      </c>
      <c r="I30" s="89">
        <f>SUM(C30:H30)</f>
        <v>1211.75</v>
      </c>
      <c r="J30" s="90">
        <f t="shared" ref="J30" si="3">I30*4</f>
        <v>4847</v>
      </c>
      <c r="K30" s="91">
        <v>0</v>
      </c>
      <c r="L30" s="91">
        <f>'TAS Oct 2017'!AY7</f>
        <v>0</v>
      </c>
      <c r="M30" s="91">
        <f>'TAS Oct 2017'!AZ7</f>
        <v>0</v>
      </c>
      <c r="N30" s="91">
        <f>'TAS Oct 2017'!BA7</f>
        <v>0</v>
      </c>
      <c r="O30" s="90">
        <f>J30-((I30-C30)*L30/100)*4</f>
        <v>4847</v>
      </c>
      <c r="P30" s="90">
        <f>O30-(O30*M30/100)</f>
        <v>4847</v>
      </c>
      <c r="Q30" s="90">
        <f>O30*1.1</f>
        <v>5331.7000000000007</v>
      </c>
      <c r="R30" s="90">
        <f>P30*1.1</f>
        <v>5331.7000000000007</v>
      </c>
      <c r="S30" s="92">
        <f>'TAS Oct 2017'!BH7</f>
        <v>0</v>
      </c>
      <c r="T30" s="93">
        <f>'TAS Oct 2017'!BI7</f>
        <v>0</v>
      </c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</row>
    <row r="31" spans="1:611" s="80" customFormat="1" ht="14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</row>
    <row r="32" spans="1:611" s="80" customFormat="1" ht="14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</row>
    <row r="33" spans="1:49" s="80" customFormat="1" ht="14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</row>
    <row r="34" spans="1:49" s="80" customFormat="1" ht="14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</row>
    <row r="35" spans="1:49" s="80" customFormat="1" ht="14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</row>
    <row r="36" spans="1:49" s="80" customFormat="1" ht="14" x14ac:dyDescent="0.1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</row>
    <row r="37" spans="1:49" s="80" customFormat="1" ht="14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</row>
    <row r="38" spans="1:49" s="80" customFormat="1" ht="14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</row>
    <row r="39" spans="1:49" s="80" customFormat="1" ht="14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</row>
    <row r="40" spans="1:49" s="80" customFormat="1" ht="14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</row>
    <row r="41" spans="1:49" s="80" customFormat="1" ht="14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</row>
    <row r="42" spans="1:49" s="80" customFormat="1" ht="14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</row>
    <row r="43" spans="1:49" s="80" customFormat="1" ht="14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</row>
    <row r="44" spans="1:49" s="80" customFormat="1" ht="14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</row>
    <row r="45" spans="1:49" s="80" customFormat="1" ht="14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</row>
    <row r="46" spans="1:49" s="80" customFormat="1" ht="14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</row>
    <row r="47" spans="1:49" s="80" customFormat="1" ht="14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</row>
    <row r="48" spans="1:49" s="80" customFormat="1" ht="14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</row>
    <row r="49" spans="1:49" s="80" customFormat="1" ht="14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</row>
    <row r="50" spans="1:49" s="80" customFormat="1" ht="14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</row>
    <row r="51" spans="1:49" s="80" customFormat="1" ht="14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</row>
    <row r="52" spans="1:49" s="80" customFormat="1" ht="14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</row>
    <row r="53" spans="1:49" s="80" customFormat="1" ht="14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</row>
    <row r="54" spans="1:49" s="80" customFormat="1" ht="14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</row>
    <row r="55" spans="1:49" s="80" customFormat="1" ht="14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0" customFormat="1" ht="14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0" customFormat="1" ht="14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0" customFormat="1" ht="14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</row>
    <row r="59" spans="1:49" s="80" customFormat="1" ht="14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0" customFormat="1" ht="14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0" customFormat="1" ht="14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0" customFormat="1" ht="14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0" customFormat="1" ht="14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0" customFormat="1" ht="14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0" customFormat="1" ht="14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0" customFormat="1" ht="14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0" customFormat="1" ht="14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</row>
    <row r="68" spans="1:49" s="80" customFormat="1" ht="14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</row>
    <row r="69" spans="1:49" s="80" customFormat="1" ht="14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</row>
    <row r="70" spans="1:49" s="80" customFormat="1" ht="14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</row>
    <row r="71" spans="1:49" s="80" customFormat="1" ht="14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</row>
    <row r="72" spans="1:49" s="80" customFormat="1" ht="14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</row>
    <row r="73" spans="1:49" s="80" customFormat="1" ht="14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</row>
    <row r="74" spans="1:49" s="80" customFormat="1" ht="14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</row>
    <row r="75" spans="1:49" s="80" customFormat="1" x14ac:dyDescent="0.15"/>
    <row r="76" spans="1:49" s="80" customFormat="1" x14ac:dyDescent="0.15"/>
    <row r="77" spans="1:49" s="80" customFormat="1" x14ac:dyDescent="0.15"/>
    <row r="78" spans="1:49" s="80" customFormat="1" x14ac:dyDescent="0.15"/>
    <row r="79" spans="1:49" s="80" customFormat="1" x14ac:dyDescent="0.15"/>
    <row r="80" spans="1:49" s="80" customFormat="1" x14ac:dyDescent="0.15"/>
    <row r="81" s="80" customFormat="1" x14ac:dyDescent="0.15"/>
    <row r="82" s="80" customFormat="1" x14ac:dyDescent="0.15"/>
    <row r="83" s="80" customFormat="1" x14ac:dyDescent="0.15"/>
    <row r="84" s="80" customFormat="1" x14ac:dyDescent="0.15"/>
    <row r="85" s="80" customFormat="1" x14ac:dyDescent="0.15"/>
    <row r="86" s="80" customFormat="1" x14ac:dyDescent="0.15"/>
    <row r="87" s="80" customFormat="1" x14ac:dyDescent="0.15"/>
    <row r="88" s="80" customFormat="1" x14ac:dyDescent="0.15"/>
    <row r="89" s="80" customFormat="1" x14ac:dyDescent="0.15"/>
    <row r="90" s="80" customFormat="1" x14ac:dyDescent="0.15"/>
    <row r="91" s="80" customFormat="1" x14ac:dyDescent="0.15"/>
    <row r="92" s="80" customFormat="1" x14ac:dyDescent="0.15"/>
    <row r="93" s="80" customFormat="1" x14ac:dyDescent="0.15"/>
    <row r="94" s="80" customFormat="1" x14ac:dyDescent="0.15"/>
    <row r="95" s="80" customFormat="1" x14ac:dyDescent="0.15"/>
    <row r="96" s="80" customFormat="1" x14ac:dyDescent="0.15"/>
    <row r="97" s="80" customFormat="1" x14ac:dyDescent="0.15"/>
    <row r="98" s="80" customFormat="1" x14ac:dyDescent="0.15"/>
    <row r="99" s="80" customFormat="1" x14ac:dyDescent="0.15"/>
    <row r="100" s="80" customFormat="1" x14ac:dyDescent="0.15"/>
    <row r="101" s="80" customFormat="1" x14ac:dyDescent="0.15"/>
    <row r="102" s="80" customFormat="1" x14ac:dyDescent="0.15"/>
    <row r="103" s="80" customFormat="1" x14ac:dyDescent="0.15"/>
    <row r="104" s="80" customFormat="1" x14ac:dyDescent="0.15"/>
    <row r="105" s="80" customFormat="1" x14ac:dyDescent="0.15"/>
    <row r="106" s="80" customFormat="1" x14ac:dyDescent="0.15"/>
    <row r="107" s="80" customFormat="1" x14ac:dyDescent="0.15"/>
    <row r="108" s="80" customFormat="1" x14ac:dyDescent="0.15"/>
    <row r="109" s="80" customFormat="1" x14ac:dyDescent="0.15"/>
    <row r="110" s="80" customFormat="1" x14ac:dyDescent="0.15"/>
    <row r="111" s="80" customFormat="1" x14ac:dyDescent="0.15"/>
    <row r="112" s="80" customFormat="1" x14ac:dyDescent="0.15"/>
    <row r="113" s="80" customFormat="1" x14ac:dyDescent="0.15"/>
    <row r="114" s="80" customFormat="1" x14ac:dyDescent="0.15"/>
    <row r="115" s="80" customFormat="1" x14ac:dyDescent="0.15"/>
    <row r="116" s="80" customFormat="1" x14ac:dyDescent="0.15"/>
    <row r="117" s="80" customFormat="1" x14ac:dyDescent="0.15"/>
    <row r="118" s="80" customFormat="1" x14ac:dyDescent="0.15"/>
    <row r="119" s="80" customFormat="1" x14ac:dyDescent="0.15"/>
    <row r="120" s="80" customFormat="1" x14ac:dyDescent="0.15"/>
    <row r="121" s="80" customFormat="1" x14ac:dyDescent="0.15"/>
    <row r="122" s="80" customFormat="1" x14ac:dyDescent="0.15"/>
    <row r="123" s="80" customFormat="1" x14ac:dyDescent="0.15"/>
    <row r="124" s="80" customFormat="1" x14ac:dyDescent="0.15"/>
    <row r="125" s="80" customFormat="1" x14ac:dyDescent="0.15"/>
    <row r="126" s="80" customFormat="1" x14ac:dyDescent="0.15"/>
    <row r="127" s="80" customFormat="1" x14ac:dyDescent="0.15"/>
    <row r="128" s="80" customFormat="1" x14ac:dyDescent="0.15"/>
    <row r="129" s="80" customFormat="1" x14ac:dyDescent="0.15"/>
    <row r="130" s="80" customFormat="1" x14ac:dyDescent="0.15"/>
    <row r="131" s="80" customFormat="1" x14ac:dyDescent="0.15"/>
    <row r="132" s="80" customFormat="1" x14ac:dyDescent="0.15"/>
    <row r="133" s="80" customFormat="1" x14ac:dyDescent="0.15"/>
    <row r="134" s="80" customFormat="1" x14ac:dyDescent="0.15"/>
    <row r="135" s="80" customFormat="1" x14ac:dyDescent="0.15"/>
    <row r="136" s="80" customFormat="1" x14ac:dyDescent="0.15"/>
    <row r="137" s="80" customFormat="1" x14ac:dyDescent="0.15"/>
    <row r="138" s="80" customFormat="1" x14ac:dyDescent="0.15"/>
    <row r="139" s="80" customFormat="1" x14ac:dyDescent="0.15"/>
    <row r="140" s="80" customFormat="1" x14ac:dyDescent="0.15"/>
    <row r="141" s="80" customFormat="1" x14ac:dyDescent="0.15"/>
    <row r="142" s="80" customFormat="1" x14ac:dyDescent="0.15"/>
    <row r="143" s="80" customFormat="1" x14ac:dyDescent="0.15"/>
    <row r="144" s="80" customFormat="1" x14ac:dyDescent="0.15"/>
    <row r="145" s="80" customFormat="1" x14ac:dyDescent="0.15"/>
    <row r="146" s="80" customFormat="1" x14ac:dyDescent="0.15"/>
    <row r="147" s="80" customFormat="1" x14ac:dyDescent="0.15"/>
    <row r="148" s="80" customFormat="1" x14ac:dyDescent="0.15"/>
    <row r="149" s="80" customFormat="1" x14ac:dyDescent="0.15"/>
    <row r="150" s="80" customFormat="1" x14ac:dyDescent="0.15"/>
    <row r="151" s="80" customFormat="1" x14ac:dyDescent="0.15"/>
    <row r="152" s="80" customFormat="1" x14ac:dyDescent="0.15"/>
    <row r="153" s="80" customFormat="1" x14ac:dyDescent="0.15"/>
    <row r="154" s="80" customFormat="1" x14ac:dyDescent="0.15"/>
    <row r="155" s="80" customFormat="1" x14ac:dyDescent="0.15"/>
    <row r="156" s="80" customFormat="1" x14ac:dyDescent="0.15"/>
    <row r="157" s="80" customFormat="1" x14ac:dyDescent="0.15"/>
    <row r="158" s="80" customFormat="1" x14ac:dyDescent="0.15"/>
    <row r="159" s="80" customFormat="1" x14ac:dyDescent="0.15"/>
    <row r="160" s="80" customFormat="1" x14ac:dyDescent="0.15"/>
    <row r="161" s="80" customFormat="1" x14ac:dyDescent="0.15"/>
    <row r="162" s="80" customFormat="1" x14ac:dyDescent="0.15"/>
    <row r="163" s="80" customFormat="1" x14ac:dyDescent="0.15"/>
    <row r="164" s="80" customFormat="1" x14ac:dyDescent="0.15"/>
    <row r="165" s="80" customFormat="1" x14ac:dyDescent="0.15"/>
    <row r="166" s="80" customFormat="1" x14ac:dyDescent="0.15"/>
    <row r="167" s="80" customFormat="1" x14ac:dyDescent="0.15"/>
    <row r="168" s="80" customFormat="1" x14ac:dyDescent="0.15"/>
    <row r="169" s="80" customFormat="1" x14ac:dyDescent="0.15"/>
    <row r="170" s="80" customFormat="1" x14ac:dyDescent="0.15"/>
    <row r="171" s="80" customFormat="1" x14ac:dyDescent="0.15"/>
    <row r="172" s="80" customFormat="1" x14ac:dyDescent="0.15"/>
    <row r="173" s="80" customFormat="1" x14ac:dyDescent="0.15"/>
    <row r="174" s="80" customFormat="1" x14ac:dyDescent="0.15"/>
    <row r="175" s="80" customFormat="1" x14ac:dyDescent="0.15"/>
    <row r="176" s="80" customFormat="1" x14ac:dyDescent="0.15"/>
    <row r="177" s="80" customFormat="1" x14ac:dyDescent="0.15"/>
    <row r="178" s="80" customFormat="1" x14ac:dyDescent="0.15"/>
    <row r="179" s="80" customFormat="1" x14ac:dyDescent="0.15"/>
    <row r="180" s="80" customFormat="1" x14ac:dyDescent="0.15"/>
    <row r="181" s="80" customFormat="1" x14ac:dyDescent="0.15"/>
    <row r="182" s="80" customFormat="1" x14ac:dyDescent="0.15"/>
    <row r="183" s="80" customFormat="1" x14ac:dyDescent="0.15"/>
    <row r="184" s="80" customFormat="1" x14ac:dyDescent="0.15"/>
    <row r="185" s="80" customFormat="1" x14ac:dyDescent="0.15"/>
    <row r="186" s="80" customFormat="1" x14ac:dyDescent="0.15"/>
    <row r="187" s="80" customFormat="1" x14ac:dyDescent="0.15"/>
    <row r="188" s="80" customFormat="1" x14ac:dyDescent="0.15"/>
    <row r="189" s="80" customFormat="1" x14ac:dyDescent="0.15"/>
    <row r="190" s="80" customFormat="1" x14ac:dyDescent="0.15"/>
    <row r="191" s="80" customFormat="1" x14ac:dyDescent="0.15"/>
    <row r="192" s="80" customFormat="1" x14ac:dyDescent="0.15"/>
    <row r="193" s="80" customFormat="1" x14ac:dyDescent="0.15"/>
    <row r="194" s="80" customFormat="1" x14ac:dyDescent="0.15"/>
    <row r="195" s="80" customFormat="1" x14ac:dyDescent="0.15"/>
    <row r="196" s="80" customFormat="1" x14ac:dyDescent="0.15"/>
    <row r="197" s="80" customFormat="1" x14ac:dyDescent="0.15"/>
    <row r="198" s="80" customFormat="1" x14ac:dyDescent="0.15"/>
    <row r="199" s="80" customFormat="1" x14ac:dyDescent="0.15"/>
    <row r="200" s="80" customFormat="1" x14ac:dyDescent="0.15"/>
    <row r="201" s="80" customFormat="1" x14ac:dyDescent="0.15"/>
    <row r="202" s="80" customFormat="1" x14ac:dyDescent="0.15"/>
    <row r="203" s="80" customFormat="1" x14ac:dyDescent="0.15"/>
    <row r="204" s="80" customFormat="1" x14ac:dyDescent="0.15"/>
    <row r="205" s="80" customFormat="1" x14ac:dyDescent="0.15"/>
    <row r="206" s="80" customFormat="1" x14ac:dyDescent="0.15"/>
    <row r="207" s="80" customFormat="1" x14ac:dyDescent="0.15"/>
    <row r="208" s="80" customFormat="1" x14ac:dyDescent="0.15"/>
    <row r="209" s="80" customFormat="1" x14ac:dyDescent="0.15"/>
    <row r="210" s="80" customFormat="1" x14ac:dyDescent="0.15"/>
    <row r="211" s="80" customFormat="1" x14ac:dyDescent="0.15"/>
    <row r="212" s="80" customFormat="1" x14ac:dyDescent="0.15"/>
    <row r="213" s="80" customFormat="1" x14ac:dyDescent="0.15"/>
    <row r="214" s="80" customFormat="1" x14ac:dyDescent="0.15"/>
    <row r="215" s="80" customFormat="1" x14ac:dyDescent="0.15"/>
    <row r="216" s="80" customFormat="1" x14ac:dyDescent="0.15"/>
    <row r="217" s="80" customFormat="1" x14ac:dyDescent="0.15"/>
    <row r="218" s="80" customFormat="1" x14ac:dyDescent="0.15"/>
    <row r="219" s="80" customFormat="1" x14ac:dyDescent="0.15"/>
    <row r="220" s="80" customFormat="1" x14ac:dyDescent="0.15"/>
    <row r="221" s="80" customFormat="1" x14ac:dyDescent="0.15"/>
    <row r="222" s="80" customFormat="1" x14ac:dyDescent="0.15"/>
    <row r="223" s="80" customFormat="1" x14ac:dyDescent="0.15"/>
    <row r="224" s="80" customFormat="1" x14ac:dyDescent="0.15"/>
    <row r="225" s="80" customFormat="1" x14ac:dyDescent="0.15"/>
    <row r="226" s="80" customFormat="1" x14ac:dyDescent="0.15"/>
    <row r="227" s="80" customFormat="1" x14ac:dyDescent="0.15"/>
    <row r="228" s="80" customFormat="1" x14ac:dyDescent="0.15"/>
    <row r="229" s="80" customFormat="1" x14ac:dyDescent="0.15"/>
    <row r="230" s="80" customFormat="1" x14ac:dyDescent="0.15"/>
    <row r="231" s="80" customFormat="1" x14ac:dyDescent="0.15"/>
    <row r="232" s="80" customFormat="1" x14ac:dyDescent="0.15"/>
    <row r="233" s="80" customFormat="1" x14ac:dyDescent="0.15"/>
    <row r="234" s="80" customFormat="1" x14ac:dyDescent="0.15"/>
    <row r="235" s="80" customFormat="1" x14ac:dyDescent="0.15"/>
    <row r="236" s="80" customFormat="1" x14ac:dyDescent="0.15"/>
    <row r="237" s="80" customFormat="1" x14ac:dyDescent="0.15"/>
    <row r="238" s="80" customFormat="1" x14ac:dyDescent="0.15"/>
    <row r="239" s="80" customFormat="1" x14ac:dyDescent="0.15"/>
    <row r="240" s="80" customFormat="1" x14ac:dyDescent="0.15"/>
    <row r="241" s="80" customFormat="1" x14ac:dyDescent="0.15"/>
    <row r="242" s="80" customFormat="1" x14ac:dyDescent="0.15"/>
    <row r="243" s="80" customFormat="1" x14ac:dyDescent="0.15"/>
    <row r="244" s="80" customFormat="1" x14ac:dyDescent="0.15"/>
    <row r="245" s="80" customFormat="1" x14ac:dyDescent="0.15"/>
    <row r="246" s="80" customFormat="1" x14ac:dyDescent="0.15"/>
    <row r="247" s="80" customFormat="1" x14ac:dyDescent="0.15"/>
    <row r="248" s="80" customFormat="1" x14ac:dyDescent="0.15"/>
    <row r="249" s="80" customFormat="1" x14ac:dyDescent="0.15"/>
    <row r="250" s="80" customFormat="1" x14ac:dyDescent="0.15"/>
    <row r="251" s="80" customFormat="1" x14ac:dyDescent="0.15"/>
    <row r="252" s="80" customFormat="1" x14ac:dyDescent="0.15"/>
    <row r="253" s="80" customFormat="1" x14ac:dyDescent="0.15"/>
    <row r="254" s="80" customFormat="1" x14ac:dyDescent="0.15"/>
    <row r="255" s="80" customFormat="1" x14ac:dyDescent="0.15"/>
    <row r="256" s="80" customFormat="1" x14ac:dyDescent="0.15"/>
    <row r="257" s="80" customFormat="1" x14ac:dyDescent="0.15"/>
    <row r="258" s="80" customFormat="1" x14ac:dyDescent="0.15"/>
    <row r="259" s="80" customFormat="1" x14ac:dyDescent="0.15"/>
    <row r="260" s="80" customFormat="1" x14ac:dyDescent="0.15"/>
    <row r="261" s="80" customFormat="1" x14ac:dyDescent="0.15"/>
    <row r="262" s="80" customFormat="1" x14ac:dyDescent="0.15"/>
    <row r="263" s="80" customFormat="1" x14ac:dyDescent="0.15"/>
    <row r="264" s="80" customFormat="1" x14ac:dyDescent="0.15"/>
    <row r="265" s="80" customFormat="1" x14ac:dyDescent="0.15"/>
    <row r="266" s="80" customFormat="1" x14ac:dyDescent="0.15"/>
    <row r="267" s="80" customFormat="1" x14ac:dyDescent="0.15"/>
    <row r="268" s="80" customFormat="1" x14ac:dyDescent="0.15"/>
    <row r="269" s="80" customFormat="1" x14ac:dyDescent="0.15"/>
    <row r="270" s="80" customFormat="1" x14ac:dyDescent="0.15"/>
    <row r="271" s="80" customFormat="1" x14ac:dyDescent="0.15"/>
    <row r="272" s="80" customFormat="1" x14ac:dyDescent="0.15"/>
    <row r="273" s="80" customFormat="1" x14ac:dyDescent="0.15"/>
    <row r="274" s="80" customFormat="1" x14ac:dyDescent="0.15"/>
    <row r="275" s="80" customFormat="1" x14ac:dyDescent="0.15"/>
    <row r="276" s="80" customFormat="1" x14ac:dyDescent="0.15"/>
    <row r="277" s="80" customFormat="1" x14ac:dyDescent="0.15"/>
    <row r="278" s="80" customFormat="1" x14ac:dyDescent="0.15"/>
    <row r="279" s="80" customFormat="1" x14ac:dyDescent="0.15"/>
    <row r="280" s="80" customFormat="1" x14ac:dyDescent="0.15"/>
    <row r="281" s="80" customFormat="1" x14ac:dyDescent="0.15"/>
    <row r="282" s="80" customFormat="1" x14ac:dyDescent="0.15"/>
    <row r="283" s="80" customFormat="1" x14ac:dyDescent="0.15"/>
    <row r="284" s="80" customFormat="1" x14ac:dyDescent="0.15"/>
    <row r="285" s="80" customFormat="1" x14ac:dyDescent="0.15"/>
    <row r="286" s="80" customFormat="1" x14ac:dyDescent="0.15"/>
    <row r="287" s="80" customFormat="1" x14ac:dyDescent="0.15"/>
    <row r="288" s="80" customFormat="1" x14ac:dyDescent="0.15"/>
    <row r="289" s="80" customFormat="1" x14ac:dyDescent="0.15"/>
    <row r="290" s="80" customFormat="1" x14ac:dyDescent="0.15"/>
    <row r="291" s="80" customFormat="1" x14ac:dyDescent="0.15"/>
    <row r="292" s="80" customFormat="1" x14ac:dyDescent="0.15"/>
    <row r="293" s="80" customFormat="1" x14ac:dyDescent="0.15"/>
    <row r="294" s="80" customFormat="1" x14ac:dyDescent="0.15"/>
    <row r="295" s="80" customFormat="1" x14ac:dyDescent="0.15"/>
    <row r="296" s="80" customFormat="1" x14ac:dyDescent="0.15"/>
    <row r="297" s="80" customFormat="1" x14ac:dyDescent="0.15"/>
    <row r="298" s="80" customFormat="1" x14ac:dyDescent="0.15"/>
    <row r="299" s="80" customFormat="1" x14ac:dyDescent="0.15"/>
    <row r="300" s="80" customFormat="1" x14ac:dyDescent="0.15"/>
    <row r="301" s="80" customFormat="1" x14ac:dyDescent="0.15"/>
    <row r="302" s="80" customFormat="1" x14ac:dyDescent="0.15"/>
    <row r="303" s="80" customFormat="1" x14ac:dyDescent="0.15"/>
    <row r="304" s="80" customFormat="1" x14ac:dyDescent="0.15"/>
    <row r="305" s="80" customFormat="1" x14ac:dyDescent="0.15"/>
    <row r="306" s="80" customFormat="1" x14ac:dyDescent="0.15"/>
    <row r="307" s="80" customFormat="1" x14ac:dyDescent="0.15"/>
    <row r="308" s="80" customFormat="1" x14ac:dyDescent="0.15"/>
    <row r="309" s="80" customFormat="1" x14ac:dyDescent="0.15"/>
    <row r="310" s="80" customFormat="1" x14ac:dyDescent="0.15"/>
  </sheetData>
  <sheetProtection algorithmName="SHA-512" hashValue="V707spsAEuF6s5iHHVQYa52JSKOqLIIovDdj6Fppb+iEvRByFE/KSSK7Wu3HgZV0iwwDaTExshxffCZxwHr3Kw==" saltValue="6mWxTipo4rttcuU0BvxW+g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75"/>
  <sheetViews>
    <sheetView zoomScaleNormal="100" zoomScalePageLayoutView="120" workbookViewId="0">
      <selection activeCell="M28" sqref="M28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75" customWidth="1"/>
    <col min="50" max="16384" width="10.83203125" style="48"/>
  </cols>
  <sheetData>
    <row r="1" spans="1:49" s="75" customFormat="1" ht="14" x14ac:dyDescent="0.15">
      <c r="A1" s="74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s="75" customFormat="1" ht="14" x14ac:dyDescent="0.15">
      <c r="A2" s="76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1:49" s="75" customFormat="1" ht="15" thickBot="1" x14ac:dyDescent="0.2">
      <c r="A3" s="74"/>
      <c r="B3" s="74"/>
      <c r="C3" s="74"/>
      <c r="D3" s="74"/>
      <c r="E3" s="74"/>
      <c r="F3" s="74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41" t="s">
        <v>95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</row>
    <row r="8" spans="1:49" ht="14" x14ac:dyDescent="0.15">
      <c r="A8" s="133" t="str">
        <f>'TAS Apr 2017'!K2</f>
        <v>Aurora Energy</v>
      </c>
      <c r="B8" s="142" t="str">
        <f>'TAS Apr 2017'!L2</f>
        <v>Regulated offer</v>
      </c>
      <c r="C8" s="107">
        <f>91*'TAS Apr 2017'!M2/100</f>
        <v>82.628909999999991</v>
      </c>
      <c r="D8" s="107">
        <f>IF($C$5&gt;='TAS Apr 2017'!P2,('TAS Apr 2017'!P2*'TAS Apr 2017'!N2/100),('TAS Bills April 2017'!$C$5*'TAS Apr 2017'!N2/100))</f>
        <v>161.6</v>
      </c>
      <c r="E8" s="107">
        <v>0</v>
      </c>
      <c r="F8" s="108">
        <v>0</v>
      </c>
      <c r="G8" s="109">
        <v>0</v>
      </c>
      <c r="H8" s="110">
        <f>IF(($C$5&lt;'TAS Apr 2017'!P2),(0),('TAS Bills April 2017'!$C$5-'TAS Apr 2017'!P2)*'TAS Apr 2017'!Q2/100)</f>
        <v>1067.625</v>
      </c>
      <c r="I8" s="111">
        <f>SUM(C8:H8)</f>
        <v>1311.85391</v>
      </c>
      <c r="J8" s="112">
        <f>I8*4</f>
        <v>5247.4156400000002</v>
      </c>
      <c r="K8" s="106">
        <v>0</v>
      </c>
      <c r="L8" s="106">
        <f>'TAS Apr 2017'!AZ2</f>
        <v>0</v>
      </c>
      <c r="M8" s="106">
        <f>'TAS Apr 2017'!BA2</f>
        <v>0</v>
      </c>
      <c r="N8" s="106">
        <f>'TAS Apr 2017'!BB2</f>
        <v>0</v>
      </c>
      <c r="O8" s="112">
        <f>J8</f>
        <v>5247.4156400000002</v>
      </c>
      <c r="P8" s="112">
        <f>O8-(O8*M8/100)</f>
        <v>5247.4156400000002</v>
      </c>
      <c r="Q8" s="112">
        <f>O8*1.1</f>
        <v>5772.157204000001</v>
      </c>
      <c r="R8" s="112">
        <f>P8*1.1</f>
        <v>5772.157204000001</v>
      </c>
      <c r="S8" s="134">
        <f>'TAS Apr 2017'!BI2</f>
        <v>0</v>
      </c>
      <c r="T8" s="135" t="str">
        <f>'TAS Apr 2017'!BJ2</f>
        <v>n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49" ht="15" thickBot="1" x14ac:dyDescent="0.2">
      <c r="A9" s="136" t="str">
        <f>'TAS Apr 2017'!K3</f>
        <v>ERM Power</v>
      </c>
      <c r="B9" s="143" t="str">
        <f>'TAS Apr 2017'!L3</f>
        <v>Adjustable</v>
      </c>
      <c r="C9" s="116">
        <f>91*'TAS Apr 2017'!M3/100</f>
        <v>80.989999999999995</v>
      </c>
      <c r="D9" s="116">
        <f>C5*'TAS Apr 2017'!N3/100</f>
        <v>1156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1236.99</v>
      </c>
      <c r="J9" s="121">
        <f t="shared" ref="J9" si="1">I9*4</f>
        <v>4947.96</v>
      </c>
      <c r="K9" s="115">
        <v>0</v>
      </c>
      <c r="L9" s="115">
        <f>'TAS Apr 2017'!AZ3</f>
        <v>0</v>
      </c>
      <c r="M9" s="115">
        <f>'TAS Apr 2017'!BA3</f>
        <v>0</v>
      </c>
      <c r="N9" s="115">
        <f>'TAS Apr 2017'!BB3</f>
        <v>0</v>
      </c>
      <c r="O9" s="121">
        <f>J9-((I9-C9)*L9/100)*4</f>
        <v>4947.96</v>
      </c>
      <c r="P9" s="121">
        <f>O9-(O9*M9/100)</f>
        <v>4947.96</v>
      </c>
      <c r="Q9" s="121">
        <f>O9*1.1</f>
        <v>5442.7560000000003</v>
      </c>
      <c r="R9" s="121">
        <f>P9*1.1</f>
        <v>5442.7560000000003</v>
      </c>
      <c r="S9" s="137">
        <f>'TAS Apr 2017'!BI3</f>
        <v>0</v>
      </c>
      <c r="T9" s="138" t="str">
        <f>'TAS Apr 2017'!BJ3</f>
        <v>n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49" s="75" customFormat="1" ht="14" x14ac:dyDescent="0.15"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49" s="75" customFormat="1" ht="15" thickBot="1" x14ac:dyDescent="0.2"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49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49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49" ht="14" x14ac:dyDescent="0.15">
      <c r="A14" s="54" t="s">
        <v>97</v>
      </c>
      <c r="B14" s="39"/>
      <c r="C14" s="73">
        <v>0.7</v>
      </c>
      <c r="D14" s="69"/>
      <c r="E14" s="69"/>
      <c r="F14" s="69"/>
      <c r="G14" s="70"/>
      <c r="H14" s="70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49" ht="14" x14ac:dyDescent="0.15">
      <c r="A15" s="54" t="s">
        <v>148</v>
      </c>
      <c r="B15" s="39"/>
      <c r="C15" s="73">
        <v>0.3</v>
      </c>
      <c r="D15" s="69"/>
      <c r="E15" s="69"/>
      <c r="F15" s="69"/>
      <c r="G15" s="70"/>
      <c r="H15" s="70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49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49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30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41" t="s">
        <v>95</v>
      </c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49" ht="14" x14ac:dyDescent="0.15">
      <c r="A18" s="133" t="str">
        <f>'TAS Apr 2017'!K4</f>
        <v>Aurora Energy</v>
      </c>
      <c r="B18" s="142" t="str">
        <f>'TAS Apr 2017'!L4</f>
        <v>Regulated offer</v>
      </c>
      <c r="C18" s="107">
        <f>91*'TAS Apr 2017'!M4/100</f>
        <v>97.442800000000005</v>
      </c>
      <c r="D18" s="107">
        <f>IF(($C$13*$C$14)&gt;='TAS Apr 2017'!P4,('TAS Apr 2017'!P4*'TAS Apr 2017'!N4/100),(('TAS Bills April 2017'!$C$13*'TAS Bills April 2017'!$C$14)*'TAS Apr 2017'!N4/100))</f>
        <v>161.6</v>
      </c>
      <c r="E18" s="107">
        <v>0</v>
      </c>
      <c r="F18" s="108">
        <v>0</v>
      </c>
      <c r="G18" s="109">
        <f>IF($C$13*$C$14&lt;'TAS Apr 2017'!P4,(0),((('TAS Bills April 2017'!$C$13*'TAS Bills April 2017'!$C$14)-('TAS Apr 2017'!P4))*'TAS Apr 2017'!Q4/100))</f>
        <v>711.75</v>
      </c>
      <c r="H18" s="107">
        <f>($C$13*$C$15)*'TAS Apr 2017'!AF4/100</f>
        <v>214.35</v>
      </c>
      <c r="I18" s="111">
        <f>SUM(C18:H18)</f>
        <v>1185.1427999999999</v>
      </c>
      <c r="J18" s="112">
        <f>I18*4</f>
        <v>4740.5711999999994</v>
      </c>
      <c r="K18" s="106">
        <v>0</v>
      </c>
      <c r="L18" s="106">
        <f>'TAS Apr 2017'!AZ4</f>
        <v>0</v>
      </c>
      <c r="M18" s="106">
        <f>'TAS Apr 2017'!BA4</f>
        <v>0</v>
      </c>
      <c r="N18" s="106">
        <f>'TAS Apr 2017'!BB4</f>
        <v>0</v>
      </c>
      <c r="O18" s="112">
        <f>J18</f>
        <v>4740.5711999999994</v>
      </c>
      <c r="P18" s="112">
        <f>O18-(O18*M18/100)</f>
        <v>4740.5711999999994</v>
      </c>
      <c r="Q18" s="112">
        <f>O18*1.1</f>
        <v>5214.6283199999998</v>
      </c>
      <c r="R18" s="112">
        <f>P18*1.1</f>
        <v>5214.6283199999998</v>
      </c>
      <c r="S18" s="134">
        <f>'TAS Apr 2017'!BI4</f>
        <v>0</v>
      </c>
      <c r="T18" s="135" t="str">
        <f>'TAS Apr 2017'!BJ4</f>
        <v>n</v>
      </c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</row>
    <row r="19" spans="1:49" ht="15" thickBot="1" x14ac:dyDescent="0.2">
      <c r="A19" s="136" t="str">
        <f>'TAS Apr 2017'!K5</f>
        <v>ERM Power</v>
      </c>
      <c r="B19" s="143" t="str">
        <f>'TAS Apr 2017'!L5</f>
        <v>Adjustable</v>
      </c>
      <c r="C19" s="116">
        <f>91*'TAS Apr 2017'!M5/100</f>
        <v>139.22999999999999</v>
      </c>
      <c r="D19" s="116">
        <f>(C13*C14)*'TAS Apr 2017'!N5/100</f>
        <v>809.2</v>
      </c>
      <c r="E19" s="116">
        <v>0</v>
      </c>
      <c r="F19" s="117">
        <v>0</v>
      </c>
      <c r="G19" s="118">
        <v>0</v>
      </c>
      <c r="H19" s="116">
        <f>($C$13*$C$15)*'TAS Apr 2017'!AF5/100</f>
        <v>206.85</v>
      </c>
      <c r="I19" s="120">
        <f>SUM(C19:H19)</f>
        <v>1155.28</v>
      </c>
      <c r="J19" s="121">
        <f t="shared" ref="J19" si="2">I19*4</f>
        <v>4621.12</v>
      </c>
      <c r="K19" s="115">
        <v>0</v>
      </c>
      <c r="L19" s="115">
        <f>'TAS Apr 2017'!AZ5</f>
        <v>0</v>
      </c>
      <c r="M19" s="115">
        <f>'TAS Apr 2017'!BA5</f>
        <v>0</v>
      </c>
      <c r="N19" s="115">
        <f>'TAS Apr 2017'!BB5</f>
        <v>0</v>
      </c>
      <c r="O19" s="121">
        <f>J19-((I19-C19)*L19/100)*4</f>
        <v>4621.12</v>
      </c>
      <c r="P19" s="121">
        <f>O19-(O19*M19/100)</f>
        <v>4621.12</v>
      </c>
      <c r="Q19" s="121">
        <f>O19*1.1</f>
        <v>5083.232</v>
      </c>
      <c r="R19" s="121">
        <f>P19*1.1</f>
        <v>5083.232</v>
      </c>
      <c r="S19" s="137">
        <f>'TAS Apr 2017'!BI5</f>
        <v>0</v>
      </c>
      <c r="T19" s="138" t="str">
        <f>'TAS Apr 2017'!BJ5</f>
        <v>n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</row>
    <row r="20" spans="1:49" s="75" customFormat="1" ht="14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</row>
    <row r="21" spans="1:49" s="75" customFormat="1" ht="15" thickBo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7"/>
      <c r="P21" s="74"/>
      <c r="Q21" s="77"/>
      <c r="R21" s="77"/>
      <c r="S21" s="77"/>
      <c r="T21" s="74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1:49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1:49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</row>
    <row r="24" spans="1:49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1:49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</row>
    <row r="26" spans="1:49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</row>
    <row r="27" spans="1:49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</row>
    <row r="28" spans="1:49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41" t="s">
        <v>160</v>
      </c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</row>
    <row r="29" spans="1:49" ht="14" x14ac:dyDescent="0.15">
      <c r="A29" s="133" t="str">
        <f>'TAS Apr 2017'!K6</f>
        <v>Aurora Energy</v>
      </c>
      <c r="B29" s="142" t="str">
        <f>'TAS Apr 2017'!L6</f>
        <v>Regulated offer</v>
      </c>
      <c r="C29" s="107">
        <f>91*'TAS Apr 2017'!M6/100</f>
        <v>89.503050000000002</v>
      </c>
      <c r="D29" s="139">
        <f>($C$23*$C$24)*'TAS Apr 2017'!N6/100</f>
        <v>387.63</v>
      </c>
      <c r="E29" s="107">
        <v>0</v>
      </c>
      <c r="F29" s="107">
        <v>0</v>
      </c>
      <c r="G29" s="107">
        <f>($C$23*$C$25)*'TAS Apr 2017'!AI6/100</f>
        <v>366.34</v>
      </c>
      <c r="H29" s="107">
        <f>($C$23*$C$26)*'TAS Apr 2017'!W6/100</f>
        <v>157.42499999999998</v>
      </c>
      <c r="I29" s="111">
        <f>SUM(C29:H29)</f>
        <v>1000.89805</v>
      </c>
      <c r="J29" s="112">
        <f>I29*4</f>
        <v>4003.5922</v>
      </c>
      <c r="K29" s="106">
        <v>0</v>
      </c>
      <c r="L29" s="106">
        <f>'TAS Apr 2017'!AZ6</f>
        <v>0</v>
      </c>
      <c r="M29" s="106">
        <f>'TAS Apr 2017'!BA6</f>
        <v>0</v>
      </c>
      <c r="N29" s="106">
        <f>'TAS Apr 2017'!BB6</f>
        <v>0</v>
      </c>
      <c r="O29" s="112">
        <f>J29</f>
        <v>4003.5922</v>
      </c>
      <c r="P29" s="112">
        <f>O29-(O29*M29/100)</f>
        <v>4003.5922</v>
      </c>
      <c r="Q29" s="112">
        <f>O29*1.1</f>
        <v>4403.9514200000003</v>
      </c>
      <c r="R29" s="112">
        <f>P29*1.1</f>
        <v>4403.9514200000003</v>
      </c>
      <c r="S29" s="134">
        <f>'TAS Apr 2017'!BI6</f>
        <v>0</v>
      </c>
      <c r="T29" s="135" t="str">
        <f>'TAS Apr 2017'!BJ6</f>
        <v>n</v>
      </c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</row>
    <row r="30" spans="1:49" ht="15" thickBot="1" x14ac:dyDescent="0.2">
      <c r="A30" s="136" t="str">
        <f>'TAS Apr 2017'!K7</f>
        <v>ERM Power</v>
      </c>
      <c r="B30" s="143" t="str">
        <f>'TAS Apr 2017'!L7</f>
        <v>Adjustable</v>
      </c>
      <c r="C30" s="116">
        <f>91*'TAS Apr 2017'!M7/100</f>
        <v>83.72</v>
      </c>
      <c r="D30" s="140">
        <f>($C$23*$C$24)*'TAS Apr 2017'!N7/100</f>
        <v>368.7</v>
      </c>
      <c r="E30" s="116">
        <v>0</v>
      </c>
      <c r="F30" s="116">
        <v>0</v>
      </c>
      <c r="G30" s="116">
        <f>($C$23*$C$25)*'TAS Apr 2017'!AI7/100</f>
        <v>322.99999999999994</v>
      </c>
      <c r="H30" s="116">
        <f>($C$23*$C$26)*'TAS Apr 2017'!W7/100</f>
        <v>128.1</v>
      </c>
      <c r="I30" s="120">
        <f>SUM(C30:H30)</f>
        <v>903.51999999999987</v>
      </c>
      <c r="J30" s="121">
        <f t="shared" ref="J30" si="3">I30*4</f>
        <v>3614.0799999999995</v>
      </c>
      <c r="K30" s="115">
        <v>0</v>
      </c>
      <c r="L30" s="115">
        <f>'TAS Apr 2017'!AZ7</f>
        <v>0</v>
      </c>
      <c r="M30" s="115">
        <f>'TAS Apr 2017'!BA7</f>
        <v>0</v>
      </c>
      <c r="N30" s="115">
        <f>'TAS Apr 2017'!BB7</f>
        <v>0</v>
      </c>
      <c r="O30" s="121">
        <f>J30-((I30-C30)*L30/100)*4</f>
        <v>3614.0799999999995</v>
      </c>
      <c r="P30" s="121">
        <f>O30-(O30*M30/100)</f>
        <v>3614.0799999999995</v>
      </c>
      <c r="Q30" s="121">
        <f>O30*1.1</f>
        <v>3975.4879999999998</v>
      </c>
      <c r="R30" s="121">
        <f>P30*1.1</f>
        <v>3975.4879999999998</v>
      </c>
      <c r="S30" s="137">
        <f>'TAS Apr 2017'!BI7</f>
        <v>0</v>
      </c>
      <c r="T30" s="138" t="str">
        <f>'TAS Apr 2017'!BJ7</f>
        <v>n</v>
      </c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</row>
    <row r="31" spans="1:49" s="75" customFormat="1" ht="14" x14ac:dyDescent="0.1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</row>
    <row r="32" spans="1:49" s="75" customFormat="1" ht="14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1:49" s="75" customFormat="1" ht="14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</row>
    <row r="34" spans="1:49" s="75" customFormat="1" ht="14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</row>
    <row r="35" spans="1:49" s="75" customFormat="1" ht="14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</row>
    <row r="36" spans="1:49" s="75" customFormat="1" ht="14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</row>
    <row r="37" spans="1:49" s="75" customFormat="1" ht="14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</row>
    <row r="38" spans="1:49" s="75" customFormat="1" ht="14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</row>
    <row r="39" spans="1:49" s="75" customFormat="1" ht="14" x14ac:dyDescent="0.1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</row>
    <row r="40" spans="1:49" s="75" customFormat="1" ht="14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</row>
    <row r="41" spans="1:49" s="75" customFormat="1" ht="14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</row>
    <row r="42" spans="1:49" s="75" customFormat="1" ht="14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s="75" customFormat="1" ht="14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</row>
    <row r="44" spans="1:49" s="75" customFormat="1" ht="14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</row>
    <row r="45" spans="1:49" s="75" customFormat="1" ht="14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</row>
    <row r="46" spans="1:49" s="75" customFormat="1" ht="14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</row>
    <row r="47" spans="1:49" s="75" customFormat="1" ht="14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</row>
    <row r="48" spans="1:49" s="75" customFormat="1" ht="14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</row>
    <row r="49" spans="1:49" s="75" customFormat="1" ht="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</row>
    <row r="50" spans="1:49" s="75" customFormat="1" ht="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</row>
    <row r="51" spans="1:49" s="75" customFormat="1" ht="14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</row>
    <row r="52" spans="1:49" s="75" customFormat="1" ht="14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</row>
    <row r="53" spans="1:49" s="75" customFormat="1" ht="14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</row>
    <row r="54" spans="1:49" s="75" customFormat="1" ht="14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</row>
    <row r="55" spans="1:49" s="75" customFormat="1" ht="14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</row>
    <row r="56" spans="1:49" s="75" customFormat="1" ht="14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</row>
    <row r="57" spans="1:49" s="75" customFormat="1" ht="14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</row>
    <row r="58" spans="1:49" s="75" customFormat="1" ht="14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</row>
    <row r="59" spans="1:49" s="75" customFormat="1" ht="14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</row>
    <row r="60" spans="1:49" s="75" customFormat="1" ht="14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75" customFormat="1" ht="14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75" customFormat="1" ht="14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75" customFormat="1" ht="14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75" customFormat="1" ht="14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75" customFormat="1" ht="14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75" customFormat="1" ht="14" x14ac:dyDescent="0.1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75" customFormat="1" ht="14" x14ac:dyDescent="0.1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75" customFormat="1" ht="14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75" customFormat="1" ht="14" x14ac:dyDescent="0.1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</row>
    <row r="70" spans="1:49" s="75" customFormat="1" ht="14" x14ac:dyDescent="0.1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</row>
    <row r="71" spans="1:49" s="75" customFormat="1" ht="14" x14ac:dyDescent="0.1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</row>
    <row r="72" spans="1:49" s="75" customFormat="1" ht="14" x14ac:dyDescent="0.1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</row>
    <row r="73" spans="1:49" s="75" customFormat="1" ht="14" x14ac:dyDescent="0.1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</row>
    <row r="74" spans="1:49" s="75" customFormat="1" ht="14" x14ac:dyDescent="0.1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</row>
    <row r="75" spans="1:49" s="75" customFormat="1" x14ac:dyDescent="0.15"/>
    <row r="76" spans="1:49" s="75" customFormat="1" x14ac:dyDescent="0.15"/>
    <row r="77" spans="1:49" s="75" customFormat="1" x14ac:dyDescent="0.15"/>
    <row r="78" spans="1:49" s="75" customFormat="1" x14ac:dyDescent="0.15"/>
    <row r="79" spans="1:49" s="75" customFormat="1" x14ac:dyDescent="0.15"/>
    <row r="80" spans="1:49" s="75" customFormat="1" x14ac:dyDescent="0.15"/>
    <row r="81" s="75" customFormat="1" x14ac:dyDescent="0.15"/>
    <row r="82" s="75" customFormat="1" x14ac:dyDescent="0.15"/>
    <row r="83" s="75" customFormat="1" x14ac:dyDescent="0.15"/>
    <row r="84" s="75" customFormat="1" x14ac:dyDescent="0.15"/>
    <row r="85" s="75" customFormat="1" x14ac:dyDescent="0.15"/>
    <row r="86" s="75" customFormat="1" x14ac:dyDescent="0.15"/>
    <row r="87" s="75" customFormat="1" x14ac:dyDescent="0.15"/>
    <row r="88" s="75" customFormat="1" x14ac:dyDescent="0.15"/>
    <row r="89" s="75" customFormat="1" x14ac:dyDescent="0.15"/>
    <row r="90" s="75" customFormat="1" x14ac:dyDescent="0.15"/>
    <row r="91" s="75" customFormat="1" x14ac:dyDescent="0.15"/>
    <row r="92" s="75" customFormat="1" x14ac:dyDescent="0.15"/>
    <row r="93" s="75" customFormat="1" x14ac:dyDescent="0.15"/>
    <row r="94" s="75" customFormat="1" x14ac:dyDescent="0.15"/>
    <row r="95" s="75" customFormat="1" x14ac:dyDescent="0.15"/>
    <row r="96" s="75" customFormat="1" x14ac:dyDescent="0.15"/>
    <row r="97" s="75" customFormat="1" x14ac:dyDescent="0.15"/>
    <row r="98" s="75" customFormat="1" x14ac:dyDescent="0.15"/>
    <row r="99" s="75" customFormat="1" x14ac:dyDescent="0.15"/>
    <row r="100" s="75" customFormat="1" x14ac:dyDescent="0.15"/>
    <row r="101" s="75" customFormat="1" x14ac:dyDescent="0.15"/>
    <row r="102" s="75" customFormat="1" x14ac:dyDescent="0.15"/>
    <row r="103" s="75" customFormat="1" x14ac:dyDescent="0.15"/>
    <row r="104" s="75" customFormat="1" x14ac:dyDescent="0.15"/>
    <row r="105" s="75" customFormat="1" x14ac:dyDescent="0.15"/>
    <row r="106" s="75" customFormat="1" x14ac:dyDescent="0.15"/>
    <row r="107" s="75" customFormat="1" x14ac:dyDescent="0.15"/>
    <row r="108" s="75" customFormat="1" x14ac:dyDescent="0.15"/>
    <row r="109" s="75" customFormat="1" x14ac:dyDescent="0.15"/>
    <row r="110" s="75" customFormat="1" x14ac:dyDescent="0.15"/>
    <row r="111" s="75" customFormat="1" x14ac:dyDescent="0.15"/>
    <row r="112" s="75" customFormat="1" x14ac:dyDescent="0.15"/>
    <row r="113" s="75" customFormat="1" x14ac:dyDescent="0.15"/>
    <row r="114" s="75" customFormat="1" x14ac:dyDescent="0.15"/>
    <row r="115" s="75" customFormat="1" x14ac:dyDescent="0.15"/>
    <row r="116" s="75" customFormat="1" x14ac:dyDescent="0.15"/>
    <row r="117" s="75" customFormat="1" x14ac:dyDescent="0.15"/>
    <row r="118" s="75" customFormat="1" x14ac:dyDescent="0.15"/>
    <row r="119" s="75" customFormat="1" x14ac:dyDescent="0.15"/>
    <row r="120" s="75" customFormat="1" x14ac:dyDescent="0.15"/>
    <row r="121" s="75" customFormat="1" x14ac:dyDescent="0.15"/>
    <row r="122" s="75" customFormat="1" x14ac:dyDescent="0.15"/>
    <row r="123" s="75" customFormat="1" x14ac:dyDescent="0.15"/>
    <row r="124" s="75" customFormat="1" x14ac:dyDescent="0.15"/>
    <row r="125" s="75" customFormat="1" x14ac:dyDescent="0.15"/>
    <row r="126" s="75" customFormat="1" x14ac:dyDescent="0.15"/>
    <row r="127" s="75" customFormat="1" x14ac:dyDescent="0.15"/>
    <row r="128" s="75" customFormat="1" x14ac:dyDescent="0.15"/>
    <row r="129" s="75" customFormat="1" x14ac:dyDescent="0.15"/>
    <row r="130" s="75" customFormat="1" x14ac:dyDescent="0.15"/>
    <row r="131" s="75" customFormat="1" x14ac:dyDescent="0.15"/>
    <row r="132" s="75" customFormat="1" x14ac:dyDescent="0.15"/>
    <row r="133" s="75" customFormat="1" x14ac:dyDescent="0.15"/>
    <row r="134" s="75" customFormat="1" x14ac:dyDescent="0.15"/>
    <row r="135" s="75" customFormat="1" x14ac:dyDescent="0.15"/>
    <row r="136" s="75" customFormat="1" x14ac:dyDescent="0.15"/>
    <row r="137" s="75" customFormat="1" x14ac:dyDescent="0.15"/>
    <row r="138" s="75" customFormat="1" x14ac:dyDescent="0.15"/>
    <row r="139" s="75" customFormat="1" x14ac:dyDescent="0.15"/>
    <row r="140" s="75" customFormat="1" x14ac:dyDescent="0.15"/>
    <row r="141" s="75" customFormat="1" x14ac:dyDescent="0.15"/>
    <row r="142" s="75" customFormat="1" x14ac:dyDescent="0.15"/>
    <row r="143" s="75" customFormat="1" x14ac:dyDescent="0.15"/>
    <row r="144" s="75" customFormat="1" x14ac:dyDescent="0.15"/>
    <row r="145" s="75" customFormat="1" x14ac:dyDescent="0.15"/>
    <row r="146" s="75" customFormat="1" x14ac:dyDescent="0.15"/>
    <row r="147" s="75" customFormat="1" x14ac:dyDescent="0.15"/>
    <row r="148" s="75" customFormat="1" x14ac:dyDescent="0.15"/>
    <row r="149" s="75" customFormat="1" x14ac:dyDescent="0.15"/>
    <row r="150" s="75" customFormat="1" x14ac:dyDescent="0.15"/>
    <row r="151" s="75" customFormat="1" x14ac:dyDescent="0.15"/>
    <row r="152" s="75" customFormat="1" x14ac:dyDescent="0.15"/>
    <row r="153" s="75" customFormat="1" x14ac:dyDescent="0.15"/>
    <row r="154" s="75" customFormat="1" x14ac:dyDescent="0.15"/>
    <row r="155" s="75" customFormat="1" x14ac:dyDescent="0.15"/>
    <row r="156" s="75" customFormat="1" x14ac:dyDescent="0.15"/>
    <row r="157" s="75" customFormat="1" x14ac:dyDescent="0.15"/>
    <row r="158" s="75" customFormat="1" x14ac:dyDescent="0.15"/>
    <row r="159" s="75" customFormat="1" x14ac:dyDescent="0.15"/>
    <row r="160" s="75" customFormat="1" x14ac:dyDescent="0.15"/>
    <row r="161" s="75" customFormat="1" x14ac:dyDescent="0.15"/>
    <row r="162" s="75" customFormat="1" x14ac:dyDescent="0.15"/>
    <row r="163" s="75" customFormat="1" x14ac:dyDescent="0.15"/>
    <row r="164" s="75" customFormat="1" x14ac:dyDescent="0.15"/>
    <row r="165" s="75" customFormat="1" x14ac:dyDescent="0.15"/>
    <row r="166" s="75" customFormat="1" x14ac:dyDescent="0.15"/>
    <row r="167" s="75" customFormat="1" x14ac:dyDescent="0.15"/>
    <row r="168" s="75" customFormat="1" x14ac:dyDescent="0.15"/>
    <row r="169" s="75" customFormat="1" x14ac:dyDescent="0.15"/>
    <row r="170" s="75" customFormat="1" x14ac:dyDescent="0.15"/>
    <row r="171" s="75" customFormat="1" x14ac:dyDescent="0.15"/>
    <row r="172" s="75" customFormat="1" x14ac:dyDescent="0.15"/>
    <row r="173" s="75" customFormat="1" x14ac:dyDescent="0.15"/>
    <row r="174" s="75" customFormat="1" x14ac:dyDescent="0.15"/>
    <row r="175" s="75" customFormat="1" x14ac:dyDescent="0.15"/>
    <row r="176" s="75" customFormat="1" x14ac:dyDescent="0.15"/>
    <row r="177" s="75" customFormat="1" x14ac:dyDescent="0.15"/>
    <row r="178" s="75" customFormat="1" x14ac:dyDescent="0.15"/>
    <row r="179" s="75" customFormat="1" x14ac:dyDescent="0.15"/>
    <row r="180" s="75" customFormat="1" x14ac:dyDescent="0.15"/>
    <row r="181" s="75" customFormat="1" x14ac:dyDescent="0.15"/>
    <row r="182" s="75" customFormat="1" x14ac:dyDescent="0.15"/>
    <row r="183" s="75" customFormat="1" x14ac:dyDescent="0.15"/>
    <row r="184" s="75" customFormat="1" x14ac:dyDescent="0.15"/>
    <row r="185" s="75" customFormat="1" x14ac:dyDescent="0.15"/>
    <row r="186" s="75" customFormat="1" x14ac:dyDescent="0.15"/>
    <row r="187" s="75" customFormat="1" x14ac:dyDescent="0.15"/>
    <row r="188" s="75" customFormat="1" x14ac:dyDescent="0.15"/>
    <row r="189" s="75" customFormat="1" x14ac:dyDescent="0.15"/>
    <row r="190" s="75" customFormat="1" x14ac:dyDescent="0.15"/>
    <row r="191" s="75" customFormat="1" x14ac:dyDescent="0.15"/>
    <row r="192" s="75" customFormat="1" x14ac:dyDescent="0.15"/>
    <row r="193" s="75" customFormat="1" x14ac:dyDescent="0.15"/>
    <row r="194" s="75" customFormat="1" x14ac:dyDescent="0.15"/>
    <row r="195" s="75" customFormat="1" x14ac:dyDescent="0.15"/>
    <row r="196" s="75" customFormat="1" x14ac:dyDescent="0.15"/>
    <row r="197" s="75" customFormat="1" x14ac:dyDescent="0.15"/>
    <row r="198" s="75" customFormat="1" x14ac:dyDescent="0.15"/>
    <row r="199" s="75" customFormat="1" x14ac:dyDescent="0.15"/>
    <row r="200" s="75" customFormat="1" x14ac:dyDescent="0.15"/>
    <row r="201" s="75" customFormat="1" x14ac:dyDescent="0.15"/>
    <row r="202" s="75" customFormat="1" x14ac:dyDescent="0.15"/>
    <row r="203" s="75" customFormat="1" x14ac:dyDescent="0.15"/>
    <row r="204" s="75" customFormat="1" x14ac:dyDescent="0.15"/>
    <row r="205" s="75" customFormat="1" x14ac:dyDescent="0.15"/>
    <row r="206" s="75" customFormat="1" x14ac:dyDescent="0.15"/>
    <row r="207" s="75" customFormat="1" x14ac:dyDescent="0.15"/>
    <row r="208" s="75" customFormat="1" x14ac:dyDescent="0.15"/>
    <row r="209" s="75" customFormat="1" x14ac:dyDescent="0.15"/>
    <row r="210" s="75" customFormat="1" x14ac:dyDescent="0.15"/>
    <row r="211" s="75" customFormat="1" x14ac:dyDescent="0.15"/>
    <row r="212" s="75" customFormat="1" x14ac:dyDescent="0.15"/>
    <row r="213" s="75" customFormat="1" x14ac:dyDescent="0.15"/>
    <row r="214" s="75" customFormat="1" x14ac:dyDescent="0.15"/>
    <row r="215" s="75" customFormat="1" x14ac:dyDescent="0.15"/>
    <row r="216" s="75" customFormat="1" x14ac:dyDescent="0.15"/>
    <row r="217" s="75" customFormat="1" x14ac:dyDescent="0.15"/>
    <row r="218" s="75" customFormat="1" x14ac:dyDescent="0.15"/>
    <row r="219" s="75" customFormat="1" x14ac:dyDescent="0.15"/>
    <row r="220" s="75" customFormat="1" x14ac:dyDescent="0.15"/>
    <row r="221" s="75" customFormat="1" x14ac:dyDescent="0.15"/>
    <row r="222" s="75" customFormat="1" x14ac:dyDescent="0.15"/>
    <row r="223" s="75" customFormat="1" x14ac:dyDescent="0.15"/>
    <row r="224" s="75" customFormat="1" x14ac:dyDescent="0.15"/>
    <row r="225" s="75" customFormat="1" x14ac:dyDescent="0.15"/>
    <row r="226" s="75" customFormat="1" x14ac:dyDescent="0.15"/>
    <row r="227" s="75" customFormat="1" x14ac:dyDescent="0.15"/>
    <row r="228" s="75" customFormat="1" x14ac:dyDescent="0.15"/>
    <row r="229" s="75" customFormat="1" x14ac:dyDescent="0.15"/>
    <row r="230" s="75" customFormat="1" x14ac:dyDescent="0.15"/>
    <row r="231" s="75" customFormat="1" x14ac:dyDescent="0.15"/>
    <row r="232" s="75" customFormat="1" x14ac:dyDescent="0.15"/>
    <row r="233" s="75" customFormat="1" x14ac:dyDescent="0.15"/>
    <row r="234" s="75" customFormat="1" x14ac:dyDescent="0.15"/>
    <row r="235" s="75" customFormat="1" x14ac:dyDescent="0.15"/>
    <row r="236" s="75" customFormat="1" x14ac:dyDescent="0.15"/>
    <row r="237" s="75" customFormat="1" x14ac:dyDescent="0.15"/>
    <row r="238" s="75" customFormat="1" x14ac:dyDescent="0.15"/>
    <row r="239" s="75" customFormat="1" x14ac:dyDescent="0.15"/>
    <row r="240" s="75" customFormat="1" x14ac:dyDescent="0.15"/>
    <row r="241" s="75" customFormat="1" x14ac:dyDescent="0.15"/>
    <row r="242" s="75" customFormat="1" x14ac:dyDescent="0.15"/>
    <row r="243" s="75" customFormat="1" x14ac:dyDescent="0.15"/>
    <row r="244" s="75" customFormat="1" x14ac:dyDescent="0.15"/>
    <row r="245" s="75" customFormat="1" x14ac:dyDescent="0.15"/>
    <row r="246" s="75" customFormat="1" x14ac:dyDescent="0.15"/>
    <row r="247" s="75" customFormat="1" x14ac:dyDescent="0.15"/>
    <row r="248" s="75" customFormat="1" x14ac:dyDescent="0.15"/>
    <row r="249" s="75" customFormat="1" x14ac:dyDescent="0.15"/>
    <row r="250" s="75" customFormat="1" x14ac:dyDescent="0.15"/>
    <row r="251" s="75" customFormat="1" x14ac:dyDescent="0.15"/>
    <row r="252" s="75" customFormat="1" x14ac:dyDescent="0.15"/>
    <row r="253" s="75" customFormat="1" x14ac:dyDescent="0.15"/>
    <row r="254" s="75" customFormat="1" x14ac:dyDescent="0.15"/>
    <row r="255" s="75" customFormat="1" x14ac:dyDescent="0.15"/>
    <row r="256" s="75" customFormat="1" x14ac:dyDescent="0.15"/>
    <row r="257" s="75" customFormat="1" x14ac:dyDescent="0.15"/>
    <row r="258" s="75" customFormat="1" x14ac:dyDescent="0.15"/>
    <row r="259" s="75" customFormat="1" x14ac:dyDescent="0.15"/>
    <row r="260" s="75" customFormat="1" x14ac:dyDescent="0.15"/>
    <row r="261" s="75" customFormat="1" x14ac:dyDescent="0.15"/>
    <row r="262" s="75" customFormat="1" x14ac:dyDescent="0.15"/>
    <row r="263" s="75" customFormat="1" x14ac:dyDescent="0.15"/>
    <row r="264" s="75" customFormat="1" x14ac:dyDescent="0.15"/>
    <row r="265" s="75" customFormat="1" x14ac:dyDescent="0.15"/>
    <row r="266" s="75" customFormat="1" x14ac:dyDescent="0.15"/>
    <row r="267" s="75" customFormat="1" x14ac:dyDescent="0.15"/>
    <row r="268" s="75" customFormat="1" x14ac:dyDescent="0.15"/>
    <row r="269" s="75" customFormat="1" x14ac:dyDescent="0.15"/>
    <row r="270" s="75" customFormat="1" x14ac:dyDescent="0.15"/>
    <row r="271" s="75" customFormat="1" x14ac:dyDescent="0.15"/>
    <row r="272" s="75" customFormat="1" x14ac:dyDescent="0.15"/>
    <row r="273" s="75" customFormat="1" x14ac:dyDescent="0.15"/>
    <row r="274" s="75" customFormat="1" x14ac:dyDescent="0.15"/>
    <row r="275" s="75" customFormat="1" x14ac:dyDescent="0.15"/>
  </sheetData>
  <sheetProtection algorithmName="SHA-512" hashValue="m/Oz1Jd9jwasrszU4utnFcuHx+EZKhBqGAdY4z/m89z/XFPXsGoWwu9Qth+NRfseFDeM+/3nSmO04TJcvXJmTg==" saltValue="UXA3YZ+frhYd9Qnl9y3FyA==" spinCount="100000" sheet="1" objects="1" scenarios="1"/>
  <phoneticPr fontId="2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D132-318B-8B4A-8056-379FDE4EE5AC}">
  <sheetPr codeName="Sheet28"/>
  <dimension ref="A1:BY12"/>
  <sheetViews>
    <sheetView zoomScale="90" zoomScaleNormal="90" zoomScalePageLayoutView="125" workbookViewId="0">
      <selection activeCell="BC12" activeCellId="2" sqref="A5:XFD5 A9:XFD9 A12:XFD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94" t="s">
        <v>320</v>
      </c>
      <c r="AV1" s="295" t="s">
        <v>321</v>
      </c>
      <c r="AW1" s="296" t="s">
        <v>322</v>
      </c>
      <c r="AX1" s="295" t="s">
        <v>323</v>
      </c>
      <c r="AY1" s="297" t="s">
        <v>324</v>
      </c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180">
        <v>43565</v>
      </c>
      <c r="C2" s="181" t="s">
        <v>230</v>
      </c>
      <c r="D2" s="179" t="s">
        <v>203</v>
      </c>
      <c r="E2" s="179">
        <v>1</v>
      </c>
      <c r="F2" s="179" t="s">
        <v>254</v>
      </c>
      <c r="G2" s="180">
        <v>43282</v>
      </c>
      <c r="H2" s="182" t="s">
        <v>232</v>
      </c>
      <c r="I2" s="182" t="s">
        <v>233</v>
      </c>
      <c r="J2" s="182">
        <v>1</v>
      </c>
      <c r="K2" s="179" t="s">
        <v>234</v>
      </c>
      <c r="L2" s="179" t="s">
        <v>235</v>
      </c>
      <c r="M2" s="183">
        <v>92.808181818181808</v>
      </c>
      <c r="N2" s="183">
        <v>30.834545454545452</v>
      </c>
      <c r="O2" s="179" t="s">
        <v>225</v>
      </c>
      <c r="P2" s="184">
        <v>500</v>
      </c>
      <c r="Q2" s="183">
        <v>22.809090909090909</v>
      </c>
      <c r="R2" s="179"/>
      <c r="S2" s="227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289" t="s">
        <v>255</v>
      </c>
      <c r="AR2" s="182" t="s">
        <v>233</v>
      </c>
      <c r="AS2" s="182"/>
      <c r="AT2" s="182"/>
      <c r="AU2" s="182">
        <v>8.8829999999999991</v>
      </c>
      <c r="AV2" s="182"/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299</v>
      </c>
    </row>
    <row r="3" spans="1:77" ht="13" customHeight="1" x14ac:dyDescent="0.15">
      <c r="A3" s="179">
        <v>21</v>
      </c>
      <c r="B3" s="180">
        <v>43565</v>
      </c>
      <c r="C3" s="181" t="s">
        <v>230</v>
      </c>
      <c r="D3" s="179" t="s">
        <v>203</v>
      </c>
      <c r="E3" s="179">
        <v>1</v>
      </c>
      <c r="F3" s="179" t="s">
        <v>254</v>
      </c>
      <c r="G3" s="180">
        <v>43271</v>
      </c>
      <c r="H3" s="182" t="s">
        <v>221</v>
      </c>
      <c r="I3" s="182" t="s">
        <v>222</v>
      </c>
      <c r="J3" s="182">
        <v>2</v>
      </c>
      <c r="K3" s="179" t="s">
        <v>207</v>
      </c>
      <c r="L3" s="179" t="s">
        <v>208</v>
      </c>
      <c r="M3" s="183">
        <v>91.8</v>
      </c>
      <c r="N3" s="183">
        <v>30.499999999999996</v>
      </c>
      <c r="O3" s="179" t="s">
        <v>225</v>
      </c>
      <c r="P3" s="184">
        <v>500</v>
      </c>
      <c r="Q3" s="183">
        <v>22.499999999999996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289" t="s">
        <v>255</v>
      </c>
      <c r="AR3" s="182" t="s">
        <v>233</v>
      </c>
      <c r="AS3" s="182"/>
      <c r="AT3" s="182"/>
      <c r="AU3" s="182">
        <v>8.8829999999999991</v>
      </c>
      <c r="AV3" s="182"/>
      <c r="AW3" s="182"/>
      <c r="AX3" s="182"/>
      <c r="AY3" s="182"/>
      <c r="AZ3" s="182" t="s">
        <v>233</v>
      </c>
      <c r="BA3" s="179"/>
      <c r="BB3" s="182">
        <v>0</v>
      </c>
      <c r="BC3" s="182">
        <v>5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309</v>
      </c>
    </row>
    <row r="4" spans="1:77" x14ac:dyDescent="0.15">
      <c r="A4" s="179">
        <v>2105</v>
      </c>
      <c r="B4" s="180">
        <v>43565</v>
      </c>
      <c r="C4" s="181" t="s">
        <v>219</v>
      </c>
      <c r="D4" s="179" t="s">
        <v>203</v>
      </c>
      <c r="E4" s="179">
        <v>1</v>
      </c>
      <c r="F4" s="179" t="s">
        <v>254</v>
      </c>
      <c r="G4" s="288">
        <v>43558</v>
      </c>
      <c r="H4" s="182" t="s">
        <v>221</v>
      </c>
      <c r="I4" s="182" t="s">
        <v>222</v>
      </c>
      <c r="J4" s="182">
        <v>3</v>
      </c>
      <c r="K4" s="179" t="s">
        <v>296</v>
      </c>
      <c r="L4" s="179" t="s">
        <v>275</v>
      </c>
      <c r="M4" s="183">
        <v>102</v>
      </c>
      <c r="N4" s="183">
        <v>35.563636363636355</v>
      </c>
      <c r="O4" s="179" t="s">
        <v>225</v>
      </c>
      <c r="P4" s="184">
        <v>500</v>
      </c>
      <c r="Q4" s="183">
        <v>32.390909090909091</v>
      </c>
      <c r="R4" s="184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t="s">
        <v>210</v>
      </c>
      <c r="AR4" s="182" t="s">
        <v>233</v>
      </c>
      <c r="AS4" s="182"/>
      <c r="AT4" s="182"/>
      <c r="AU4" s="182">
        <v>8.8829999999999991</v>
      </c>
      <c r="AV4" s="182"/>
      <c r="AW4" s="182"/>
      <c r="AX4" s="182"/>
      <c r="AY4" s="182"/>
      <c r="AZ4" s="182" t="s">
        <v>233</v>
      </c>
      <c r="BA4" s="179"/>
      <c r="BB4" s="182">
        <v>0</v>
      </c>
      <c r="BC4" s="182">
        <v>5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 t="s">
        <v>310</v>
      </c>
      <c r="BT4" s="185" t="s">
        <v>173</v>
      </c>
      <c r="BU4" s="182">
        <v>50</v>
      </c>
      <c r="BV4" s="182" t="s">
        <v>233</v>
      </c>
      <c r="BW4" s="182"/>
      <c r="BX4" s="185" t="s">
        <v>298</v>
      </c>
      <c r="BY4" s="179" t="s">
        <v>325</v>
      </c>
    </row>
    <row r="5" spans="1:77" x14ac:dyDescent="0.15">
      <c r="A5" s="179">
        <v>594</v>
      </c>
      <c r="B5" s="180">
        <v>43565</v>
      </c>
      <c r="C5" s="181" t="s">
        <v>230</v>
      </c>
      <c r="D5" s="179" t="s">
        <v>203</v>
      </c>
      <c r="E5" s="179">
        <v>1</v>
      </c>
      <c r="F5" s="179" t="s">
        <v>254</v>
      </c>
      <c r="G5" s="180">
        <v>43504</v>
      </c>
      <c r="H5" s="182" t="s">
        <v>221</v>
      </c>
      <c r="I5" s="182" t="s">
        <v>222</v>
      </c>
      <c r="J5" s="182">
        <v>4</v>
      </c>
      <c r="K5" s="179" t="s">
        <v>280</v>
      </c>
      <c r="L5" s="179" t="s">
        <v>281</v>
      </c>
      <c r="M5" s="183">
        <v>87.272727272727266</v>
      </c>
      <c r="N5" s="183">
        <v>24.09090909090909</v>
      </c>
      <c r="O5" s="179" t="s">
        <v>225</v>
      </c>
      <c r="P5" s="184">
        <v>500</v>
      </c>
      <c r="Q5" s="183">
        <v>24.09090909090909</v>
      </c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179" t="s">
        <v>255</v>
      </c>
      <c r="AR5" s="182" t="s">
        <v>233</v>
      </c>
      <c r="AS5" s="182"/>
      <c r="AT5" s="182"/>
      <c r="AU5" s="182">
        <v>8.9</v>
      </c>
      <c r="AV5" s="182"/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163.58181818181816</v>
      </c>
      <c r="BQ5" s="182"/>
      <c r="BR5" s="182"/>
      <c r="BS5" s="182"/>
      <c r="BT5" s="182"/>
      <c r="BU5" s="182"/>
      <c r="BV5" s="182" t="s">
        <v>233</v>
      </c>
      <c r="BW5" s="182"/>
      <c r="BX5" s="185"/>
      <c r="BY5" s="179" t="s">
        <v>326</v>
      </c>
    </row>
    <row r="6" spans="1:77" x14ac:dyDescent="0.15">
      <c r="A6" s="179">
        <v>220</v>
      </c>
      <c r="B6" s="180">
        <v>43565</v>
      </c>
      <c r="C6" s="181" t="s">
        <v>230</v>
      </c>
      <c r="D6" s="179" t="s">
        <v>203</v>
      </c>
      <c r="E6" s="179">
        <v>2</v>
      </c>
      <c r="F6" s="179" t="s">
        <v>240</v>
      </c>
      <c r="G6" s="180">
        <v>43282</v>
      </c>
      <c r="H6" s="182" t="s">
        <v>232</v>
      </c>
      <c r="I6" s="182" t="s">
        <v>233</v>
      </c>
      <c r="J6" s="182">
        <v>1</v>
      </c>
      <c r="K6" s="179" t="s">
        <v>234</v>
      </c>
      <c r="L6" s="179" t="s">
        <v>235</v>
      </c>
      <c r="M6" s="183">
        <v>109.44454545454545</v>
      </c>
      <c r="N6" s="183">
        <v>30.834545454545452</v>
      </c>
      <c r="O6" s="179" t="s">
        <v>225</v>
      </c>
      <c r="P6" s="184">
        <v>500</v>
      </c>
      <c r="Q6" s="183">
        <v>22.809090909090909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14.609090909090908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>
        <v>8.8829999999999991</v>
      </c>
      <c r="AV6" s="182"/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313</v>
      </c>
    </row>
    <row r="7" spans="1:77" ht="13" customHeight="1" x14ac:dyDescent="0.15">
      <c r="A7" s="179">
        <v>20</v>
      </c>
      <c r="B7" s="180">
        <v>43565</v>
      </c>
      <c r="C7" s="181" t="s">
        <v>230</v>
      </c>
      <c r="D7" s="179" t="s">
        <v>203</v>
      </c>
      <c r="E7" s="179">
        <v>2</v>
      </c>
      <c r="F7" s="179" t="s">
        <v>240</v>
      </c>
      <c r="G7" s="180">
        <v>43271</v>
      </c>
      <c r="H7" s="182" t="s">
        <v>221</v>
      </c>
      <c r="I7" s="182" t="s">
        <v>222</v>
      </c>
      <c r="J7" s="182">
        <v>2</v>
      </c>
      <c r="K7" s="179" t="s">
        <v>207</v>
      </c>
      <c r="L7" s="179" t="s">
        <v>208</v>
      </c>
      <c r="M7" s="183">
        <v>111.39999999999999</v>
      </c>
      <c r="N7" s="183">
        <v>30.499999999999996</v>
      </c>
      <c r="O7" s="179" t="s">
        <v>225</v>
      </c>
      <c r="P7" s="184">
        <v>500</v>
      </c>
      <c r="Q7" s="183">
        <v>22.499999999999996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12.2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289" t="s">
        <v>242</v>
      </c>
      <c r="AR7" s="182" t="s">
        <v>233</v>
      </c>
      <c r="AS7" s="182"/>
      <c r="AT7" s="182"/>
      <c r="AU7" s="182">
        <v>8.8829999999999991</v>
      </c>
      <c r="AV7" s="182"/>
      <c r="AW7" s="182"/>
      <c r="AX7" s="182"/>
      <c r="AY7" s="182"/>
      <c r="AZ7" s="182" t="s">
        <v>233</v>
      </c>
      <c r="BA7" s="179"/>
      <c r="BB7" s="182">
        <v>0</v>
      </c>
      <c r="BC7" s="182">
        <v>5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314</v>
      </c>
    </row>
    <row r="8" spans="1:77" ht="13" customHeight="1" x14ac:dyDescent="0.15">
      <c r="A8" s="179">
        <v>2102</v>
      </c>
      <c r="B8" s="180">
        <v>43565</v>
      </c>
      <c r="C8" s="181" t="s">
        <v>219</v>
      </c>
      <c r="D8" s="179" t="s">
        <v>203</v>
      </c>
      <c r="E8" s="179">
        <v>2</v>
      </c>
      <c r="F8" s="179" t="s">
        <v>240</v>
      </c>
      <c r="G8" s="288">
        <v>43558</v>
      </c>
      <c r="H8" s="182" t="s">
        <v>221</v>
      </c>
      <c r="I8" s="182" t="s">
        <v>222</v>
      </c>
      <c r="J8" s="182">
        <v>3</v>
      </c>
      <c r="K8" s="179" t="s">
        <v>296</v>
      </c>
      <c r="L8" s="179" t="s">
        <v>275</v>
      </c>
      <c r="M8" s="183">
        <v>102</v>
      </c>
      <c r="N8" s="183">
        <v>35.563636363636355</v>
      </c>
      <c r="O8" s="179" t="s">
        <v>225</v>
      </c>
      <c r="P8" s="184">
        <v>500</v>
      </c>
      <c r="Q8" s="183">
        <v>32.390909090909091</v>
      </c>
      <c r="R8" s="184"/>
      <c r="S8" s="227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28.054545454545451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t="s">
        <v>215</v>
      </c>
      <c r="AR8" s="182" t="s">
        <v>233</v>
      </c>
      <c r="AS8" s="182"/>
      <c r="AT8" s="182"/>
      <c r="AU8" s="182">
        <v>8.8829999999999991</v>
      </c>
      <c r="AV8" s="182"/>
      <c r="AW8" s="182"/>
      <c r="AX8" s="182"/>
      <c r="AY8" s="182"/>
      <c r="AZ8" s="182" t="s">
        <v>233</v>
      </c>
      <c r="BA8" s="179"/>
      <c r="BB8" s="182">
        <v>0</v>
      </c>
      <c r="BC8" s="182">
        <v>5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 t="s">
        <v>310</v>
      </c>
      <c r="BT8" s="185" t="s">
        <v>173</v>
      </c>
      <c r="BU8" s="182">
        <v>50</v>
      </c>
      <c r="BV8" s="182" t="s">
        <v>233</v>
      </c>
      <c r="BW8" s="182"/>
      <c r="BX8" s="185" t="s">
        <v>298</v>
      </c>
      <c r="BY8" s="179" t="s">
        <v>299</v>
      </c>
    </row>
    <row r="9" spans="1:77" ht="13" customHeight="1" x14ac:dyDescent="0.15">
      <c r="A9" s="179">
        <v>593</v>
      </c>
      <c r="B9" s="180">
        <v>43565</v>
      </c>
      <c r="C9" s="181" t="s">
        <v>230</v>
      </c>
      <c r="D9" s="179" t="s">
        <v>203</v>
      </c>
      <c r="E9" s="179">
        <v>2</v>
      </c>
      <c r="F9" s="179" t="s">
        <v>240</v>
      </c>
      <c r="G9" s="180">
        <v>43504</v>
      </c>
      <c r="H9" s="182" t="s">
        <v>221</v>
      </c>
      <c r="I9" s="182" t="s">
        <v>222</v>
      </c>
      <c r="J9" s="182">
        <v>4</v>
      </c>
      <c r="K9" s="179" t="s">
        <v>280</v>
      </c>
      <c r="L9" s="179" t="s">
        <v>281</v>
      </c>
      <c r="M9" s="183">
        <v>119.99999999999999</v>
      </c>
      <c r="N9" s="183">
        <v>24.09090909090909</v>
      </c>
      <c r="O9" s="179" t="s">
        <v>225</v>
      </c>
      <c r="P9" s="184">
        <v>500</v>
      </c>
      <c r="Q9" s="183">
        <v>24.09090909090909</v>
      </c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16.818181818181817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179" t="s">
        <v>242</v>
      </c>
      <c r="AR9" s="182" t="s">
        <v>233</v>
      </c>
      <c r="AS9" s="182"/>
      <c r="AT9" s="182"/>
      <c r="AU9" s="182">
        <v>8.9</v>
      </c>
      <c r="AV9" s="182"/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163.58181818181816</v>
      </c>
      <c r="BQ9" s="182"/>
      <c r="BR9" s="182"/>
      <c r="BS9" s="182"/>
      <c r="BT9" s="182"/>
      <c r="BU9" s="182"/>
      <c r="BV9" s="182" t="s">
        <v>233</v>
      </c>
      <c r="BW9" s="182"/>
      <c r="BX9" s="185"/>
      <c r="BY9" s="179" t="s">
        <v>299</v>
      </c>
    </row>
    <row r="10" spans="1:77" ht="13" customHeight="1" x14ac:dyDescent="0.15">
      <c r="A10" s="179">
        <v>223</v>
      </c>
      <c r="B10" s="180">
        <v>43565</v>
      </c>
      <c r="C10" s="181" t="s">
        <v>230</v>
      </c>
      <c r="D10" s="179" t="s">
        <v>203</v>
      </c>
      <c r="E10" s="179">
        <v>3</v>
      </c>
      <c r="F10" s="179" t="s">
        <v>231</v>
      </c>
      <c r="G10" s="180">
        <v>43282</v>
      </c>
      <c r="H10" s="182" t="s">
        <v>232</v>
      </c>
      <c r="I10" s="182" t="s">
        <v>233</v>
      </c>
      <c r="J10" s="182">
        <v>1</v>
      </c>
      <c r="K10" s="179" t="s">
        <v>234</v>
      </c>
      <c r="L10" s="179" t="s">
        <v>235</v>
      </c>
      <c r="M10" s="183">
        <v>100.52999999999999</v>
      </c>
      <c r="N10" s="183">
        <v>25.373636363636361</v>
      </c>
      <c r="O10" s="179"/>
      <c r="P10" s="179"/>
      <c r="Q10" s="227"/>
      <c r="R10" s="179"/>
      <c r="S10" s="227"/>
      <c r="T10" s="184"/>
      <c r="U10" s="179"/>
      <c r="V10" s="227"/>
      <c r="W10" s="183">
        <v>10.727272727272727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18.339999999999996</v>
      </c>
      <c r="AJ10" s="179"/>
      <c r="AK10" s="179"/>
      <c r="AL10" s="179"/>
      <c r="AM10" s="179"/>
      <c r="AN10" s="227"/>
      <c r="AO10" s="228"/>
      <c r="AP10" s="227"/>
      <c r="AQ10" s="179" t="s">
        <v>237</v>
      </c>
      <c r="AR10" s="182" t="s">
        <v>233</v>
      </c>
      <c r="AS10" s="182"/>
      <c r="AT10" s="182"/>
      <c r="AU10" s="182">
        <v>8.8829999999999991</v>
      </c>
      <c r="AV10" s="182"/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299</v>
      </c>
    </row>
    <row r="11" spans="1:77" ht="13" customHeight="1" x14ac:dyDescent="0.15">
      <c r="A11" s="179">
        <v>22</v>
      </c>
      <c r="B11" s="180">
        <v>43565</v>
      </c>
      <c r="C11" s="181" t="s">
        <v>230</v>
      </c>
      <c r="D11" s="179" t="s">
        <v>203</v>
      </c>
      <c r="E11" s="179">
        <v>3</v>
      </c>
      <c r="F11" s="179" t="s">
        <v>231</v>
      </c>
      <c r="G11" s="180">
        <v>43271</v>
      </c>
      <c r="H11" s="182" t="s">
        <v>221</v>
      </c>
      <c r="I11" s="182" t="s">
        <v>222</v>
      </c>
      <c r="J11" s="182">
        <v>2</v>
      </c>
      <c r="K11" s="179" t="s">
        <v>207</v>
      </c>
      <c r="L11" s="179" t="s">
        <v>208</v>
      </c>
      <c r="M11" s="183">
        <v>99.5</v>
      </c>
      <c r="N11" s="183">
        <v>25.099999999999998</v>
      </c>
      <c r="O11" s="179"/>
      <c r="P11" s="179"/>
      <c r="Q11" s="227"/>
      <c r="R11" s="179"/>
      <c r="S11" s="227"/>
      <c r="T11" s="184"/>
      <c r="U11" s="179"/>
      <c r="V11" s="227"/>
      <c r="W11" s="183">
        <v>10.6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18.099999999999998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>
        <v>8.8829999999999991</v>
      </c>
      <c r="AV11" s="182"/>
      <c r="AW11" s="182"/>
      <c r="AX11" s="182"/>
      <c r="AY11" s="182"/>
      <c r="AZ11" s="182" t="s">
        <v>233</v>
      </c>
      <c r="BA11" s="179"/>
      <c r="BB11" s="182">
        <v>0</v>
      </c>
      <c r="BC11" s="182">
        <v>5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317</v>
      </c>
    </row>
    <row r="12" spans="1:77" x14ac:dyDescent="0.15">
      <c r="A12" s="179">
        <v>595</v>
      </c>
      <c r="B12" s="180">
        <v>43565</v>
      </c>
      <c r="C12" s="181" t="s">
        <v>230</v>
      </c>
      <c r="D12" s="179" t="s">
        <v>203</v>
      </c>
      <c r="E12" s="179">
        <v>3</v>
      </c>
      <c r="F12" s="179" t="s">
        <v>231</v>
      </c>
      <c r="G12" s="180">
        <v>43504</v>
      </c>
      <c r="H12" s="182" t="s">
        <v>221</v>
      </c>
      <c r="I12" s="182" t="s">
        <v>222</v>
      </c>
      <c r="J12" s="182">
        <v>3</v>
      </c>
      <c r="K12" s="179" t="s">
        <v>280</v>
      </c>
      <c r="L12" s="179" t="s">
        <v>281</v>
      </c>
      <c r="M12" s="183">
        <v>102.72727272727272</v>
      </c>
      <c r="N12" s="183">
        <v>25.454545454545453</v>
      </c>
      <c r="O12" s="179"/>
      <c r="P12" s="179"/>
      <c r="Q12" s="227"/>
      <c r="R12" s="179"/>
      <c r="S12" s="227"/>
      <c r="T12" s="184"/>
      <c r="U12" s="179"/>
      <c r="V12" s="227"/>
      <c r="W12" s="183">
        <v>16.818181818181817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21.363636363636363</v>
      </c>
      <c r="AJ12" s="179"/>
      <c r="AK12" s="179"/>
      <c r="AL12" s="179"/>
      <c r="AM12" s="179"/>
      <c r="AN12" s="227"/>
      <c r="AO12" s="228"/>
      <c r="AP12" s="227"/>
      <c r="AQ12" s="289" t="s">
        <v>237</v>
      </c>
      <c r="AR12" s="182" t="s">
        <v>233</v>
      </c>
      <c r="AS12" s="182"/>
      <c r="AT12" s="182"/>
      <c r="AU12" s="182">
        <v>8.9</v>
      </c>
      <c r="AV12" s="182"/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163.58181818181816</v>
      </c>
      <c r="BQ12" s="182"/>
      <c r="BR12" s="182"/>
      <c r="BS12" s="182"/>
      <c r="BT12" s="182"/>
      <c r="BU12" s="182"/>
      <c r="BV12" s="182" t="s">
        <v>233</v>
      </c>
      <c r="BW12" s="182"/>
      <c r="BX12" s="185"/>
      <c r="BY12" s="179" t="s">
        <v>299</v>
      </c>
    </row>
  </sheetData>
  <sheetProtection algorithmName="SHA-512" hashValue="ZdUdxhZKD/GxYG6THF9R7vThLlgb1bhXpWiNxmrXQ/9AhyzrXnC3Fms/xmtYjEqsVU7Z/mCkJ+OosbPI3oN3hQ==" saltValue="WqKN0W5Pm8EaxNyQ60s32g==" spinCount="100000" sheet="1" objects="1" scenarios="1"/>
  <pageMargins left="0.75" right="0.75" top="1" bottom="1" header="0.5" footer="0.5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19E7-F202-7647-B131-B53C2BE90A47}">
  <sheetPr codeName="Sheet29"/>
  <dimension ref="A1:BY12"/>
  <sheetViews>
    <sheetView zoomScale="90" zoomScaleNormal="90" zoomScalePageLayoutView="125" workbookViewId="0">
      <selection activeCell="A2" sqref="A2:BY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286">
        <v>43383</v>
      </c>
      <c r="C2" s="181" t="s">
        <v>230</v>
      </c>
      <c r="D2" s="179" t="s">
        <v>203</v>
      </c>
      <c r="E2" s="179"/>
      <c r="F2" s="179" t="s">
        <v>254</v>
      </c>
      <c r="G2" s="180">
        <v>43282</v>
      </c>
      <c r="H2" s="182" t="s">
        <v>232</v>
      </c>
      <c r="I2" s="182" t="s">
        <v>233</v>
      </c>
      <c r="J2" s="182"/>
      <c r="K2" s="179" t="s">
        <v>234</v>
      </c>
      <c r="L2" s="179" t="s">
        <v>235</v>
      </c>
      <c r="M2" s="183">
        <v>92.808181818181808</v>
      </c>
      <c r="N2" s="183">
        <v>30.834545454545452</v>
      </c>
      <c r="O2" s="179" t="s">
        <v>225</v>
      </c>
      <c r="P2" s="184">
        <v>500</v>
      </c>
      <c r="Q2" s="183">
        <v>22.809090909090909</v>
      </c>
      <c r="R2" s="184"/>
      <c r="S2" s="183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179" t="s">
        <v>255</v>
      </c>
      <c r="AR2" s="182" t="s">
        <v>233</v>
      </c>
      <c r="AS2" s="182"/>
      <c r="AT2" s="182"/>
      <c r="AU2" s="182"/>
      <c r="AV2" s="182">
        <v>8.8829999999999991</v>
      </c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299</v>
      </c>
    </row>
    <row r="3" spans="1:77" ht="13" customHeight="1" x14ac:dyDescent="0.15">
      <c r="A3" s="179">
        <v>21</v>
      </c>
      <c r="B3" s="286">
        <v>43383</v>
      </c>
      <c r="C3" s="181" t="s">
        <v>230</v>
      </c>
      <c r="D3" s="179" t="s">
        <v>203</v>
      </c>
      <c r="E3" s="179"/>
      <c r="F3" s="179" t="s">
        <v>254</v>
      </c>
      <c r="G3" s="180">
        <v>43271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183">
        <v>91.8</v>
      </c>
      <c r="N3" s="183">
        <v>30.499999999999996</v>
      </c>
      <c r="O3" s="179" t="s">
        <v>225</v>
      </c>
      <c r="P3" s="184">
        <v>500</v>
      </c>
      <c r="Q3" s="183">
        <v>22.499999999999996</v>
      </c>
      <c r="R3" s="184"/>
      <c r="S3" s="183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179" t="s">
        <v>255</v>
      </c>
      <c r="AR3" s="182" t="s">
        <v>233</v>
      </c>
      <c r="AS3" s="182"/>
      <c r="AT3" s="182"/>
      <c r="AU3" s="182"/>
      <c r="AV3" s="182">
        <v>8.8829999999999991</v>
      </c>
      <c r="AW3" s="182"/>
      <c r="AX3" s="182"/>
      <c r="AY3" s="182"/>
      <c r="AZ3" s="182" t="s">
        <v>233</v>
      </c>
      <c r="BA3" s="179"/>
      <c r="BB3" s="182">
        <v>0</v>
      </c>
      <c r="BC3" s="182">
        <v>5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309</v>
      </c>
    </row>
    <row r="4" spans="1:77" x14ac:dyDescent="0.15">
      <c r="A4" s="179">
        <v>2105</v>
      </c>
      <c r="B4" s="286">
        <v>43383</v>
      </c>
      <c r="C4" s="181" t="s">
        <v>219</v>
      </c>
      <c r="D4" s="179" t="s">
        <v>203</v>
      </c>
      <c r="E4" s="179"/>
      <c r="F4" s="179" t="s">
        <v>254</v>
      </c>
      <c r="G4" s="288">
        <v>43350</v>
      </c>
      <c r="H4" s="182" t="s">
        <v>221</v>
      </c>
      <c r="I4" s="182" t="s">
        <v>222</v>
      </c>
      <c r="J4" s="182"/>
      <c r="K4" s="179" t="s">
        <v>296</v>
      </c>
      <c r="L4" s="179" t="s">
        <v>275</v>
      </c>
      <c r="M4" s="183">
        <v>102</v>
      </c>
      <c r="N4" s="183">
        <v>35.563636363636355</v>
      </c>
      <c r="O4" s="179" t="s">
        <v>225</v>
      </c>
      <c r="P4" s="184">
        <v>500</v>
      </c>
      <c r="Q4" s="183">
        <v>32.390909090909091</v>
      </c>
      <c r="R4" s="184"/>
      <c r="S4" s="183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s="179" t="s">
        <v>255</v>
      </c>
      <c r="AR4" s="182" t="s">
        <v>233</v>
      </c>
      <c r="AS4" s="182"/>
      <c r="AT4" s="182"/>
      <c r="AU4" s="182"/>
      <c r="AV4" s="182">
        <v>8.8829999999999991</v>
      </c>
      <c r="AW4" s="182"/>
      <c r="AX4" s="182"/>
      <c r="AY4" s="182"/>
      <c r="AZ4" s="182" t="s">
        <v>233</v>
      </c>
      <c r="BA4" s="179"/>
      <c r="BB4" s="182">
        <v>0</v>
      </c>
      <c r="BC4" s="182">
        <v>5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 t="s">
        <v>310</v>
      </c>
      <c r="BT4" s="185" t="s">
        <v>173</v>
      </c>
      <c r="BU4" s="182">
        <v>50</v>
      </c>
      <c r="BV4" s="182" t="s">
        <v>233</v>
      </c>
      <c r="BW4" s="182"/>
      <c r="BX4" s="185" t="s">
        <v>298</v>
      </c>
      <c r="BY4" s="179" t="s">
        <v>311</v>
      </c>
    </row>
    <row r="5" spans="1:77" x14ac:dyDescent="0.15">
      <c r="A5" s="179">
        <v>594</v>
      </c>
      <c r="B5" s="286">
        <v>43383</v>
      </c>
      <c r="C5" s="181" t="s">
        <v>230</v>
      </c>
      <c r="D5" s="179" t="s">
        <v>203</v>
      </c>
      <c r="E5" s="179"/>
      <c r="F5" s="179" t="s">
        <v>254</v>
      </c>
      <c r="G5" s="180">
        <v>43312</v>
      </c>
      <c r="H5" s="182" t="s">
        <v>221</v>
      </c>
      <c r="I5" s="182" t="s">
        <v>222</v>
      </c>
      <c r="J5" s="182"/>
      <c r="K5" s="179" t="s">
        <v>280</v>
      </c>
      <c r="L5" s="179" t="s">
        <v>281</v>
      </c>
      <c r="M5" s="183">
        <v>87.272727272727266</v>
      </c>
      <c r="N5" s="183">
        <v>24.09090909090909</v>
      </c>
      <c r="O5" s="179" t="s">
        <v>225</v>
      </c>
      <c r="P5" s="184">
        <v>500</v>
      </c>
      <c r="Q5" s="183">
        <v>24.09090909090909</v>
      </c>
      <c r="R5" s="184"/>
      <c r="S5" s="183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289" t="s">
        <v>255</v>
      </c>
      <c r="AR5" s="182" t="s">
        <v>233</v>
      </c>
      <c r="AS5" s="182"/>
      <c r="AT5" s="182"/>
      <c r="AU5" s="182"/>
      <c r="AV5" s="182">
        <v>8.9</v>
      </c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163.58181818181816</v>
      </c>
      <c r="BQ5" s="182"/>
      <c r="BR5" s="182"/>
      <c r="BS5" s="182"/>
      <c r="BT5" s="182"/>
      <c r="BU5" s="182"/>
      <c r="BV5" s="182" t="s">
        <v>233</v>
      </c>
      <c r="BW5" s="182"/>
      <c r="BX5" s="185"/>
      <c r="BY5" s="179" t="s">
        <v>312</v>
      </c>
    </row>
    <row r="6" spans="1:77" x14ac:dyDescent="0.15">
      <c r="A6" s="179">
        <v>220</v>
      </c>
      <c r="B6" s="286">
        <v>43383</v>
      </c>
      <c r="C6" s="181" t="s">
        <v>230</v>
      </c>
      <c r="D6" s="179" t="s">
        <v>203</v>
      </c>
      <c r="E6" s="179"/>
      <c r="F6" s="179" t="s">
        <v>240</v>
      </c>
      <c r="G6" s="180">
        <v>43282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109.44454545454545</v>
      </c>
      <c r="N6" s="183">
        <v>30.834545454545452</v>
      </c>
      <c r="O6" s="179" t="s">
        <v>225</v>
      </c>
      <c r="P6" s="184">
        <v>500</v>
      </c>
      <c r="Q6" s="183">
        <v>22.809090909090909</v>
      </c>
      <c r="R6" s="184"/>
      <c r="S6" s="183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14.609090909090908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/>
      <c r="AV6" s="182">
        <v>8.8829999999999991</v>
      </c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313</v>
      </c>
    </row>
    <row r="7" spans="1:77" ht="13" customHeight="1" x14ac:dyDescent="0.15">
      <c r="A7" s="179">
        <v>20</v>
      </c>
      <c r="B7" s="286">
        <v>43383</v>
      </c>
      <c r="C7" s="181" t="s">
        <v>230</v>
      </c>
      <c r="D7" s="179" t="s">
        <v>203</v>
      </c>
      <c r="E7" s="179"/>
      <c r="F7" s="179" t="s">
        <v>240</v>
      </c>
      <c r="G7" s="180">
        <v>43271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111.39999999999999</v>
      </c>
      <c r="N7" s="183">
        <v>30.499999999999996</v>
      </c>
      <c r="O7" s="179" t="s">
        <v>225</v>
      </c>
      <c r="P7" s="184">
        <v>500</v>
      </c>
      <c r="Q7" s="183">
        <v>22.499999999999996</v>
      </c>
      <c r="R7" s="184"/>
      <c r="S7" s="183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12.2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179" t="s">
        <v>242</v>
      </c>
      <c r="AR7" s="182" t="s">
        <v>233</v>
      </c>
      <c r="AS7" s="182"/>
      <c r="AT7" s="182"/>
      <c r="AU7" s="182"/>
      <c r="AV7" s="182">
        <v>8.8829999999999991</v>
      </c>
      <c r="AW7" s="182"/>
      <c r="AX7" s="182"/>
      <c r="AY7" s="182"/>
      <c r="AZ7" s="182" t="s">
        <v>233</v>
      </c>
      <c r="BA7" s="179"/>
      <c r="BB7" s="182">
        <v>0</v>
      </c>
      <c r="BC7" s="182">
        <v>5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314</v>
      </c>
    </row>
    <row r="8" spans="1:77" ht="13" customHeight="1" x14ac:dyDescent="0.15">
      <c r="A8" s="179">
        <v>2102</v>
      </c>
      <c r="B8" s="286">
        <v>43383</v>
      </c>
      <c r="C8" s="181" t="s">
        <v>219</v>
      </c>
      <c r="D8" s="179" t="s">
        <v>203</v>
      </c>
      <c r="E8" s="179"/>
      <c r="F8" s="179" t="s">
        <v>240</v>
      </c>
      <c r="G8" s="288">
        <v>43350</v>
      </c>
      <c r="H8" s="182" t="s">
        <v>221</v>
      </c>
      <c r="I8" s="182" t="s">
        <v>222</v>
      </c>
      <c r="J8" s="182"/>
      <c r="K8" s="179" t="s">
        <v>296</v>
      </c>
      <c r="L8" s="179" t="s">
        <v>275</v>
      </c>
      <c r="M8" s="183">
        <v>102</v>
      </c>
      <c r="N8" s="183">
        <v>35.563636363636355</v>
      </c>
      <c r="O8" s="179" t="s">
        <v>225</v>
      </c>
      <c r="P8" s="184">
        <v>500</v>
      </c>
      <c r="Q8" s="183">
        <v>32.390909090909091</v>
      </c>
      <c r="R8" s="184"/>
      <c r="S8" s="183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28.054545454545451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s="2" t="s">
        <v>215</v>
      </c>
      <c r="AR8" s="182" t="s">
        <v>233</v>
      </c>
      <c r="AS8" s="182"/>
      <c r="AT8" s="182"/>
      <c r="AU8" s="182"/>
      <c r="AV8" s="182">
        <v>8.8829999999999991</v>
      </c>
      <c r="AW8" s="182"/>
      <c r="AX8" s="182"/>
      <c r="AY8" s="182"/>
      <c r="AZ8" s="182" t="s">
        <v>233</v>
      </c>
      <c r="BA8" s="179"/>
      <c r="BB8" s="182">
        <v>0</v>
      </c>
      <c r="BC8" s="182">
        <v>5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 t="s">
        <v>310</v>
      </c>
      <c r="BT8" s="185" t="s">
        <v>173</v>
      </c>
      <c r="BU8" s="182">
        <v>50</v>
      </c>
      <c r="BV8" s="182" t="s">
        <v>233</v>
      </c>
      <c r="BW8" s="182"/>
      <c r="BX8" s="185" t="s">
        <v>298</v>
      </c>
      <c r="BY8" s="179" t="s">
        <v>315</v>
      </c>
    </row>
    <row r="9" spans="1:77" ht="13" customHeight="1" x14ac:dyDescent="0.15">
      <c r="A9" s="179">
        <v>593</v>
      </c>
      <c r="B9" s="286">
        <v>43383</v>
      </c>
      <c r="C9" s="181" t="s">
        <v>230</v>
      </c>
      <c r="D9" s="179" t="s">
        <v>203</v>
      </c>
      <c r="E9" s="179"/>
      <c r="F9" s="179" t="s">
        <v>240</v>
      </c>
      <c r="G9" s="180">
        <v>43312</v>
      </c>
      <c r="H9" s="182" t="s">
        <v>221</v>
      </c>
      <c r="I9" s="182" t="s">
        <v>222</v>
      </c>
      <c r="J9" s="182"/>
      <c r="K9" s="179" t="s">
        <v>280</v>
      </c>
      <c r="L9" s="179" t="s">
        <v>281</v>
      </c>
      <c r="M9" s="183">
        <v>119.99999999999999</v>
      </c>
      <c r="N9" s="183">
        <v>24.09090909090909</v>
      </c>
      <c r="O9" s="179" t="s">
        <v>225</v>
      </c>
      <c r="P9" s="184">
        <v>500</v>
      </c>
      <c r="Q9" s="183">
        <v>24.09090909090909</v>
      </c>
      <c r="R9" s="184"/>
      <c r="S9" s="183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16.818181818181817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289" t="s">
        <v>242</v>
      </c>
      <c r="AR9" s="182" t="s">
        <v>233</v>
      </c>
      <c r="AS9" s="182"/>
      <c r="AT9" s="182"/>
      <c r="AU9" s="182"/>
      <c r="AV9" s="182">
        <v>8.9</v>
      </c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163.58181818181816</v>
      </c>
      <c r="BQ9" s="182"/>
      <c r="BR9" s="182"/>
      <c r="BS9" s="182"/>
      <c r="BT9" s="182"/>
      <c r="BU9" s="182"/>
      <c r="BV9" s="182" t="s">
        <v>233</v>
      </c>
      <c r="BW9" s="182"/>
      <c r="BX9" s="185"/>
      <c r="BY9" s="179" t="s">
        <v>316</v>
      </c>
    </row>
    <row r="10" spans="1:77" ht="13" customHeight="1" x14ac:dyDescent="0.15">
      <c r="A10" s="179">
        <v>223</v>
      </c>
      <c r="B10" s="286">
        <v>43383</v>
      </c>
      <c r="C10" s="181" t="s">
        <v>230</v>
      </c>
      <c r="D10" s="179" t="s">
        <v>203</v>
      </c>
      <c r="E10" s="179"/>
      <c r="F10" s="179" t="s">
        <v>231</v>
      </c>
      <c r="G10" s="180">
        <v>43282</v>
      </c>
      <c r="H10" s="182" t="s">
        <v>232</v>
      </c>
      <c r="I10" s="182" t="s">
        <v>233</v>
      </c>
      <c r="J10" s="182"/>
      <c r="K10" s="179" t="s">
        <v>234</v>
      </c>
      <c r="L10" s="179" t="s">
        <v>235</v>
      </c>
      <c r="M10" s="183">
        <v>100.52999999999999</v>
      </c>
      <c r="N10" s="183">
        <v>25.373636363636361</v>
      </c>
      <c r="O10" s="179"/>
      <c r="P10" s="179"/>
      <c r="Q10" s="227"/>
      <c r="R10" s="179"/>
      <c r="S10" s="227"/>
      <c r="T10" s="184"/>
      <c r="U10" s="179"/>
      <c r="V10" s="227"/>
      <c r="W10" s="183">
        <v>10.727272727272727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18.339999999999996</v>
      </c>
      <c r="AJ10" s="179"/>
      <c r="AK10" s="179"/>
      <c r="AL10" s="179"/>
      <c r="AM10" s="179"/>
      <c r="AN10" s="227"/>
      <c r="AO10" s="228"/>
      <c r="AP10" s="227"/>
      <c r="AQ10" s="289" t="s">
        <v>237</v>
      </c>
      <c r="AR10" s="182" t="s">
        <v>233</v>
      </c>
      <c r="AS10" s="182"/>
      <c r="AT10" s="182"/>
      <c r="AU10" s="182"/>
      <c r="AV10" s="182">
        <v>8.8829999999999991</v>
      </c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299</v>
      </c>
    </row>
    <row r="11" spans="1:77" ht="13" customHeight="1" x14ac:dyDescent="0.15">
      <c r="A11" s="179">
        <v>22</v>
      </c>
      <c r="B11" s="286">
        <v>43383</v>
      </c>
      <c r="C11" s="181" t="s">
        <v>230</v>
      </c>
      <c r="D11" s="179" t="s">
        <v>203</v>
      </c>
      <c r="E11" s="179"/>
      <c r="F11" s="179" t="s">
        <v>231</v>
      </c>
      <c r="G11" s="180">
        <v>43271</v>
      </c>
      <c r="H11" s="182" t="s">
        <v>221</v>
      </c>
      <c r="I11" s="182" t="s">
        <v>222</v>
      </c>
      <c r="J11" s="182"/>
      <c r="K11" s="179" t="s">
        <v>207</v>
      </c>
      <c r="L11" s="179" t="s">
        <v>208</v>
      </c>
      <c r="M11" s="183">
        <v>99.5</v>
      </c>
      <c r="N11" s="183">
        <v>25.099999999999998</v>
      </c>
      <c r="O11" s="179"/>
      <c r="P11" s="179"/>
      <c r="Q11" s="227"/>
      <c r="R11" s="179"/>
      <c r="S11" s="227"/>
      <c r="T11" s="184"/>
      <c r="U11" s="179"/>
      <c r="V11" s="227"/>
      <c r="W11" s="183">
        <v>10.6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18.099999999999998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/>
      <c r="AV11" s="182">
        <v>8.8829999999999991</v>
      </c>
      <c r="AW11" s="182"/>
      <c r="AX11" s="182"/>
      <c r="AY11" s="182"/>
      <c r="AZ11" s="182" t="s">
        <v>233</v>
      </c>
      <c r="BA11" s="179"/>
      <c r="BB11" s="182">
        <v>0</v>
      </c>
      <c r="BC11" s="182">
        <v>5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317</v>
      </c>
    </row>
    <row r="12" spans="1:77" x14ac:dyDescent="0.15">
      <c r="A12" s="179">
        <v>595</v>
      </c>
      <c r="B12" s="286">
        <v>43383</v>
      </c>
      <c r="C12" s="181" t="s">
        <v>230</v>
      </c>
      <c r="D12" s="179" t="s">
        <v>203</v>
      </c>
      <c r="E12" s="179"/>
      <c r="F12" s="179" t="s">
        <v>231</v>
      </c>
      <c r="G12" s="180">
        <v>43312</v>
      </c>
      <c r="H12" s="182" t="s">
        <v>221</v>
      </c>
      <c r="I12" s="182" t="s">
        <v>222</v>
      </c>
      <c r="J12" s="182"/>
      <c r="K12" s="179" t="s">
        <v>280</v>
      </c>
      <c r="L12" s="179" t="s">
        <v>281</v>
      </c>
      <c r="M12" s="183">
        <v>102.72727272727272</v>
      </c>
      <c r="N12" s="183">
        <v>25.454545454545453</v>
      </c>
      <c r="O12" s="179"/>
      <c r="P12" s="179"/>
      <c r="Q12" s="227"/>
      <c r="R12" s="179"/>
      <c r="S12" s="227"/>
      <c r="T12" s="184"/>
      <c r="U12" s="179"/>
      <c r="V12" s="227"/>
      <c r="W12" s="183">
        <v>16.818181818181817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21.363636363636363</v>
      </c>
      <c r="AJ12" s="179"/>
      <c r="AK12" s="179"/>
      <c r="AL12" s="179"/>
      <c r="AM12" s="179"/>
      <c r="AN12" s="227"/>
      <c r="AO12" s="228"/>
      <c r="AP12" s="227"/>
      <c r="AQ12" s="179" t="s">
        <v>237</v>
      </c>
      <c r="AR12" s="182" t="s">
        <v>233</v>
      </c>
      <c r="AS12" s="182"/>
      <c r="AT12" s="182"/>
      <c r="AU12" s="182"/>
      <c r="AV12" s="182">
        <v>8.9</v>
      </c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163.58181818181816</v>
      </c>
      <c r="BQ12" s="182"/>
      <c r="BR12" s="182"/>
      <c r="BS12" s="182"/>
      <c r="BT12" s="182"/>
      <c r="BU12" s="182"/>
      <c r="BV12" s="182" t="s">
        <v>233</v>
      </c>
      <c r="BW12" s="182"/>
      <c r="BX12" s="185"/>
      <c r="BY12" s="179" t="s">
        <v>318</v>
      </c>
    </row>
  </sheetData>
  <sheetProtection algorithmName="SHA-512" hashValue="F0vYcmYmIThYEZckX0KL8cxiN93Kc+j9h0OXy6rL5BSOd6I/l+cnAfBSjK6PXDRdka8KSjlt2z4sGEOnX2Borg==" saltValue="ZkOn+rgmmBgXWV8h/vfYQA==" spinCount="100000" sheet="1" objects="1" scenarios="1"/>
  <pageMargins left="0.75" right="0.75" top="1" bottom="1" header="0.5" footer="0.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FC-5048-A146-8BC0-0257687C7752}">
  <sheetPr codeName="Sheet24"/>
  <dimension ref="A1:BZ16"/>
  <sheetViews>
    <sheetView topLeftCell="AJ1" zoomScale="90" zoomScaleNormal="90" zoomScalePageLayoutView="125" workbookViewId="0">
      <selection activeCell="BC2" sqref="BC2:BF1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272">
        <v>222</v>
      </c>
      <c r="B2" s="273">
        <v>43200</v>
      </c>
      <c r="C2" s="274" t="s">
        <v>230</v>
      </c>
      <c r="D2" s="272" t="s">
        <v>203</v>
      </c>
      <c r="E2" s="272"/>
      <c r="F2" s="272" t="s">
        <v>254</v>
      </c>
      <c r="G2" s="273">
        <v>42917</v>
      </c>
      <c r="H2" s="275" t="s">
        <v>232</v>
      </c>
      <c r="I2" s="275" t="s">
        <v>233</v>
      </c>
      <c r="J2" s="275"/>
      <c r="K2" s="272" t="s">
        <v>234</v>
      </c>
      <c r="L2" s="272" t="s">
        <v>235</v>
      </c>
      <c r="M2" s="276">
        <v>82.954545454545453</v>
      </c>
      <c r="N2" s="276">
        <v>27.563636363636363</v>
      </c>
      <c r="O2" s="2" t="s">
        <v>225</v>
      </c>
      <c r="P2" s="2">
        <v>500</v>
      </c>
      <c r="Q2" s="276">
        <v>20.390909090909091</v>
      </c>
      <c r="R2" s="272"/>
      <c r="S2" s="277"/>
      <c r="T2" s="278"/>
      <c r="U2" s="272"/>
      <c r="V2" s="277"/>
      <c r="W2" s="277"/>
      <c r="X2" s="272"/>
      <c r="Y2" s="272"/>
      <c r="Z2" s="272"/>
      <c r="AA2" s="272"/>
      <c r="AB2" s="272"/>
      <c r="AC2" s="272"/>
      <c r="AD2" s="272"/>
      <c r="AE2" s="277"/>
      <c r="AF2" s="277"/>
      <c r="AG2" s="272"/>
      <c r="AH2" s="272"/>
      <c r="AI2" s="277"/>
      <c r="AJ2" s="272"/>
      <c r="AK2" s="272"/>
      <c r="AL2" s="272"/>
      <c r="AM2" s="272"/>
      <c r="AN2" s="277"/>
      <c r="AO2" s="279"/>
      <c r="AP2" s="277"/>
      <c r="AQ2" s="277"/>
      <c r="AR2" s="272" t="s">
        <v>255</v>
      </c>
      <c r="AS2" s="275" t="s">
        <v>233</v>
      </c>
      <c r="AT2" s="275"/>
      <c r="AU2" s="275"/>
      <c r="AV2" s="275"/>
      <c r="AW2" s="275">
        <v>6.5010000000000003</v>
      </c>
      <c r="AX2" s="275"/>
      <c r="AY2" s="275"/>
      <c r="AZ2" s="275"/>
      <c r="BA2" s="275" t="s">
        <v>239</v>
      </c>
      <c r="BB2" s="272"/>
      <c r="BC2" s="275">
        <v>0</v>
      </c>
      <c r="BD2" s="275">
        <v>0</v>
      </c>
      <c r="BE2" s="275">
        <v>0</v>
      </c>
      <c r="BF2" s="275">
        <v>0</v>
      </c>
      <c r="BG2" s="275">
        <v>0</v>
      </c>
      <c r="BH2" s="275">
        <v>0</v>
      </c>
      <c r="BI2" s="275">
        <v>0</v>
      </c>
      <c r="BJ2" s="275">
        <v>0</v>
      </c>
      <c r="BK2" s="275">
        <v>0</v>
      </c>
      <c r="BL2" s="275">
        <v>0</v>
      </c>
      <c r="BM2" s="275"/>
      <c r="BN2" s="275"/>
      <c r="BO2" s="275"/>
      <c r="BP2" s="275" t="s">
        <v>232</v>
      </c>
      <c r="BQ2" s="280"/>
      <c r="BR2" s="275"/>
      <c r="BS2" s="275"/>
      <c r="BT2" s="272" t="s">
        <v>229</v>
      </c>
      <c r="BU2" s="281" t="s">
        <v>173</v>
      </c>
      <c r="BV2" s="275">
        <v>20</v>
      </c>
      <c r="BW2" s="275" t="s">
        <v>233</v>
      </c>
      <c r="BX2" s="275"/>
      <c r="BY2" s="272"/>
      <c r="BZ2" s="272" t="s">
        <v>292</v>
      </c>
    </row>
    <row r="3" spans="1:78" ht="13" customHeight="1" x14ac:dyDescent="0.15">
      <c r="A3" s="272">
        <v>21</v>
      </c>
      <c r="B3" s="273">
        <v>43200</v>
      </c>
      <c r="C3" s="274" t="s">
        <v>230</v>
      </c>
      <c r="D3" s="272" t="s">
        <v>203</v>
      </c>
      <c r="E3" s="272"/>
      <c r="F3" s="272" t="s">
        <v>254</v>
      </c>
      <c r="G3" s="273">
        <v>43047</v>
      </c>
      <c r="H3" s="275" t="s">
        <v>221</v>
      </c>
      <c r="I3" s="275" t="s">
        <v>222</v>
      </c>
      <c r="J3" s="275"/>
      <c r="K3" s="272" t="s">
        <v>207</v>
      </c>
      <c r="L3" s="272" t="s">
        <v>208</v>
      </c>
      <c r="M3" s="276">
        <v>82.11818181818181</v>
      </c>
      <c r="N3" s="276">
        <v>26.18181818181818</v>
      </c>
      <c r="O3" s="179" t="s">
        <v>225</v>
      </c>
      <c r="P3" s="179">
        <v>500</v>
      </c>
      <c r="Q3" s="276">
        <v>19.363636363636363</v>
      </c>
      <c r="R3" s="272"/>
      <c r="S3" s="277"/>
      <c r="T3" s="278"/>
      <c r="U3" s="272"/>
      <c r="V3" s="277"/>
      <c r="W3" s="277"/>
      <c r="X3" s="272"/>
      <c r="Y3" s="272"/>
      <c r="Z3" s="272"/>
      <c r="AA3" s="272"/>
      <c r="AB3" s="272"/>
      <c r="AC3" s="272"/>
      <c r="AD3" s="272"/>
      <c r="AE3" s="277"/>
      <c r="AF3" s="277"/>
      <c r="AG3" s="272"/>
      <c r="AH3" s="272"/>
      <c r="AI3" s="277"/>
      <c r="AJ3" s="272"/>
      <c r="AK3" s="272"/>
      <c r="AL3" s="272"/>
      <c r="AM3" s="272"/>
      <c r="AN3" s="277"/>
      <c r="AO3" s="279"/>
      <c r="AP3" s="277"/>
      <c r="AQ3" s="277"/>
      <c r="AR3" s="272" t="s">
        <v>255</v>
      </c>
      <c r="AS3" s="275" t="s">
        <v>233</v>
      </c>
      <c r="AT3" s="275"/>
      <c r="AU3" s="275"/>
      <c r="AV3" s="275"/>
      <c r="AW3" s="275">
        <v>6.5010000000000003</v>
      </c>
      <c r="AX3" s="275"/>
      <c r="AY3" s="275"/>
      <c r="AZ3" s="275"/>
      <c r="BA3" s="275" t="s">
        <v>233</v>
      </c>
      <c r="BB3" s="272"/>
      <c r="BC3" s="275">
        <v>0</v>
      </c>
      <c r="BD3" s="275">
        <v>0</v>
      </c>
      <c r="BE3" s="275">
        <v>0</v>
      </c>
      <c r="BF3" s="275">
        <v>5</v>
      </c>
      <c r="BG3" s="275">
        <v>0</v>
      </c>
      <c r="BH3" s="275">
        <v>0</v>
      </c>
      <c r="BI3" s="275">
        <v>0</v>
      </c>
      <c r="BJ3" s="275">
        <v>0</v>
      </c>
      <c r="BK3" s="275">
        <v>0</v>
      </c>
      <c r="BL3" s="275">
        <v>0</v>
      </c>
      <c r="BM3" s="275"/>
      <c r="BN3" s="275"/>
      <c r="BO3" s="275">
        <v>12</v>
      </c>
      <c r="BP3" s="275" t="s">
        <v>233</v>
      </c>
      <c r="BQ3" s="280"/>
      <c r="BR3" s="275"/>
      <c r="BS3" s="275"/>
      <c r="BT3" s="275"/>
      <c r="BU3" s="275"/>
      <c r="BV3" s="275"/>
      <c r="BW3" s="275" t="s">
        <v>233</v>
      </c>
      <c r="BX3" s="275">
        <v>1</v>
      </c>
      <c r="BY3" s="281"/>
      <c r="BZ3" s="272" t="s">
        <v>293</v>
      </c>
    </row>
    <row r="4" spans="1:78" ht="13" customHeight="1" x14ac:dyDescent="0.15">
      <c r="A4" s="272">
        <v>829</v>
      </c>
      <c r="B4" s="273">
        <v>43200</v>
      </c>
      <c r="C4" s="274" t="s">
        <v>230</v>
      </c>
      <c r="D4" s="272" t="s">
        <v>203</v>
      </c>
      <c r="E4" s="272"/>
      <c r="F4" s="272" t="s">
        <v>254</v>
      </c>
      <c r="G4" s="273">
        <v>42452</v>
      </c>
      <c r="H4" s="275" t="s">
        <v>221</v>
      </c>
      <c r="I4" s="275" t="s">
        <v>222</v>
      </c>
      <c r="J4" s="275"/>
      <c r="K4" s="272" t="s">
        <v>260</v>
      </c>
      <c r="L4" s="272" t="s">
        <v>285</v>
      </c>
      <c r="M4" s="276">
        <v>94.5</v>
      </c>
      <c r="N4" s="276">
        <v>31.399999999999995</v>
      </c>
      <c r="O4" s="2" t="s">
        <v>225</v>
      </c>
      <c r="P4" s="2">
        <v>500</v>
      </c>
      <c r="Q4" s="276">
        <v>23.2</v>
      </c>
      <c r="R4" s="272"/>
      <c r="S4" s="277"/>
      <c r="T4" s="278"/>
      <c r="U4" s="272"/>
      <c r="V4" s="277"/>
      <c r="W4" s="277"/>
      <c r="X4" s="272"/>
      <c r="Y4" s="272"/>
      <c r="Z4" s="272"/>
      <c r="AA4" s="272"/>
      <c r="AB4" s="272"/>
      <c r="AC4" s="272"/>
      <c r="AD4" s="272"/>
      <c r="AE4" s="277"/>
      <c r="AF4" s="277"/>
      <c r="AG4" s="272"/>
      <c r="AH4" s="272"/>
      <c r="AI4" s="277"/>
      <c r="AJ4" s="272"/>
      <c r="AK4" s="272"/>
      <c r="AL4" s="272"/>
      <c r="AM4" s="272"/>
      <c r="AN4" s="277"/>
      <c r="AO4" s="279"/>
      <c r="AP4" s="277"/>
      <c r="AQ4" s="277"/>
      <c r="AR4" s="272" t="s">
        <v>255</v>
      </c>
      <c r="AS4" s="275" t="s">
        <v>233</v>
      </c>
      <c r="AT4" s="275"/>
      <c r="AU4" s="275"/>
      <c r="AV4" s="275"/>
      <c r="AW4" s="275"/>
      <c r="AX4" s="275"/>
      <c r="AY4" s="275"/>
      <c r="AZ4" s="275"/>
      <c r="BA4" s="275" t="s">
        <v>233</v>
      </c>
      <c r="BB4" s="272"/>
      <c r="BC4" s="275">
        <v>0</v>
      </c>
      <c r="BD4" s="275">
        <v>0</v>
      </c>
      <c r="BE4" s="275">
        <v>3</v>
      </c>
      <c r="BF4" s="275">
        <v>0</v>
      </c>
      <c r="BG4" s="275">
        <v>0</v>
      </c>
      <c r="BH4" s="275">
        <v>0</v>
      </c>
      <c r="BI4" s="275">
        <v>0</v>
      </c>
      <c r="BJ4" s="275">
        <v>0</v>
      </c>
      <c r="BK4" s="275">
        <v>0</v>
      </c>
      <c r="BL4" s="275">
        <v>0</v>
      </c>
      <c r="BM4" s="275"/>
      <c r="BN4" s="275"/>
      <c r="BO4" s="275"/>
      <c r="BP4" s="275" t="s">
        <v>233</v>
      </c>
      <c r="BQ4" s="280"/>
      <c r="BR4" s="275"/>
      <c r="BS4" s="275"/>
      <c r="BT4" s="275"/>
      <c r="BU4" s="275"/>
      <c r="BV4" s="275"/>
      <c r="BW4" s="275" t="s">
        <v>233</v>
      </c>
      <c r="BX4" s="275">
        <v>1</v>
      </c>
      <c r="BY4" s="281"/>
      <c r="BZ4" s="272" t="s">
        <v>294</v>
      </c>
    </row>
    <row r="5" spans="1:78" x14ac:dyDescent="0.15">
      <c r="A5" s="272">
        <v>1920</v>
      </c>
      <c r="B5" s="273">
        <v>43200</v>
      </c>
      <c r="C5" s="274" t="s">
        <v>230</v>
      </c>
      <c r="D5" s="272" t="s">
        <v>203</v>
      </c>
      <c r="E5" s="272"/>
      <c r="F5" s="272" t="s">
        <v>254</v>
      </c>
      <c r="G5" s="273">
        <v>43040</v>
      </c>
      <c r="H5" s="275" t="s">
        <v>233</v>
      </c>
      <c r="I5" s="275" t="s">
        <v>295</v>
      </c>
      <c r="J5" s="275"/>
      <c r="K5" s="272" t="s">
        <v>296</v>
      </c>
      <c r="L5" s="272" t="s">
        <v>297</v>
      </c>
      <c r="M5" s="276">
        <v>82.954545454545453</v>
      </c>
      <c r="N5" s="276">
        <v>27.563636363636363</v>
      </c>
      <c r="O5" s="179" t="s">
        <v>225</v>
      </c>
      <c r="P5" s="179">
        <v>500</v>
      </c>
      <c r="Q5" s="276">
        <v>20.390909090909091</v>
      </c>
      <c r="R5" s="272"/>
      <c r="S5" s="277"/>
      <c r="T5" s="278"/>
      <c r="U5" s="272"/>
      <c r="V5" s="277"/>
      <c r="W5" s="277"/>
      <c r="X5" s="272"/>
      <c r="Y5" s="272"/>
      <c r="Z5" s="272"/>
      <c r="AA5" s="272"/>
      <c r="AB5" s="272"/>
      <c r="AC5" s="272"/>
      <c r="AD5" s="272"/>
      <c r="AE5" s="277"/>
      <c r="AF5" s="277"/>
      <c r="AG5" s="272"/>
      <c r="AH5" s="272"/>
      <c r="AI5" s="277"/>
      <c r="AJ5" s="272"/>
      <c r="AK5" s="272"/>
      <c r="AL5" s="272"/>
      <c r="AM5" s="272"/>
      <c r="AN5" s="277"/>
      <c r="AO5" s="279"/>
      <c r="AP5" s="277"/>
      <c r="AQ5" s="277"/>
      <c r="AR5" s="282" t="s">
        <v>255</v>
      </c>
      <c r="AS5" s="275" t="s">
        <v>233</v>
      </c>
      <c r="AT5" s="275"/>
      <c r="AU5" s="275"/>
      <c r="AV5" s="275"/>
      <c r="AW5" s="275"/>
      <c r="AX5" s="275"/>
      <c r="AY5" s="275"/>
      <c r="AZ5" s="275"/>
      <c r="BA5" s="275" t="s">
        <v>228</v>
      </c>
      <c r="BB5" s="272"/>
      <c r="BC5" s="275">
        <v>0</v>
      </c>
      <c r="BD5" s="275">
        <v>5</v>
      </c>
      <c r="BE5" s="275">
        <v>0</v>
      </c>
      <c r="BF5" s="275">
        <v>0</v>
      </c>
      <c r="BG5" s="275">
        <v>0</v>
      </c>
      <c r="BH5" s="275">
        <v>0</v>
      </c>
      <c r="BI5" s="275">
        <v>0</v>
      </c>
      <c r="BJ5" s="275">
        <v>0</v>
      </c>
      <c r="BK5" s="275">
        <v>0</v>
      </c>
      <c r="BL5" s="275">
        <v>0</v>
      </c>
      <c r="BM5" s="275"/>
      <c r="BN5" s="275"/>
      <c r="BO5" s="275"/>
      <c r="BP5" s="275" t="s">
        <v>233</v>
      </c>
      <c r="BQ5" s="280"/>
      <c r="BR5" s="275"/>
      <c r="BS5" s="275"/>
      <c r="BT5" s="281" t="s">
        <v>298</v>
      </c>
      <c r="BU5" s="281" t="s">
        <v>173</v>
      </c>
      <c r="BV5" s="275">
        <v>50</v>
      </c>
      <c r="BW5" s="275" t="s">
        <v>233</v>
      </c>
      <c r="BX5" s="275"/>
      <c r="BY5" s="281"/>
      <c r="BZ5" s="272" t="s">
        <v>299</v>
      </c>
    </row>
    <row r="6" spans="1:78" x14ac:dyDescent="0.15">
      <c r="A6" s="272">
        <v>594</v>
      </c>
      <c r="B6" s="273">
        <v>43200</v>
      </c>
      <c r="C6" s="274" t="s">
        <v>230</v>
      </c>
      <c r="D6" s="272" t="s">
        <v>203</v>
      </c>
      <c r="E6" s="272"/>
      <c r="F6" s="272" t="s">
        <v>254</v>
      </c>
      <c r="G6" s="273">
        <v>43176</v>
      </c>
      <c r="H6" s="275" t="s">
        <v>221</v>
      </c>
      <c r="I6" s="275" t="s">
        <v>222</v>
      </c>
      <c r="J6" s="275"/>
      <c r="K6" s="272" t="s">
        <v>280</v>
      </c>
      <c r="L6" s="272" t="s">
        <v>281</v>
      </c>
      <c r="M6" s="276">
        <v>77.272727272727266</v>
      </c>
      <c r="N6" s="276">
        <v>25.545454545454543</v>
      </c>
      <c r="O6" s="2" t="s">
        <v>225</v>
      </c>
      <c r="P6" s="2">
        <v>500</v>
      </c>
      <c r="Q6" s="276">
        <v>18.909090909090907</v>
      </c>
      <c r="R6" s="272"/>
      <c r="S6" s="277"/>
      <c r="T6" s="278"/>
      <c r="U6" s="272"/>
      <c r="V6" s="277"/>
      <c r="W6" s="277"/>
      <c r="X6" s="272"/>
      <c r="Y6" s="272"/>
      <c r="Z6" s="272"/>
      <c r="AA6" s="272"/>
      <c r="AB6" s="272"/>
      <c r="AC6" s="272"/>
      <c r="AD6" s="272"/>
      <c r="AE6" s="277"/>
      <c r="AF6" s="277"/>
      <c r="AG6" s="272"/>
      <c r="AH6" s="272"/>
      <c r="AI6" s="277"/>
      <c r="AJ6" s="272"/>
      <c r="AK6" s="272"/>
      <c r="AL6" s="272"/>
      <c r="AM6" s="272"/>
      <c r="AN6" s="277"/>
      <c r="AO6" s="279"/>
      <c r="AP6" s="277"/>
      <c r="AQ6" s="277"/>
      <c r="AR6" s="282" t="s">
        <v>255</v>
      </c>
      <c r="AS6" s="275" t="s">
        <v>233</v>
      </c>
      <c r="AT6" s="275"/>
      <c r="AU6" s="275"/>
      <c r="AV6" s="275"/>
      <c r="AW6" s="275">
        <v>6.6</v>
      </c>
      <c r="AX6" s="275"/>
      <c r="AY6" s="275"/>
      <c r="AZ6" s="275"/>
      <c r="BA6" s="275" t="s">
        <v>228</v>
      </c>
      <c r="BB6" s="272"/>
      <c r="BC6" s="275">
        <v>0</v>
      </c>
      <c r="BD6" s="275">
        <v>0</v>
      </c>
      <c r="BE6" s="275">
        <v>0</v>
      </c>
      <c r="BF6" s="275">
        <v>0</v>
      </c>
      <c r="BG6" s="275">
        <v>0</v>
      </c>
      <c r="BH6" s="275">
        <v>0</v>
      </c>
      <c r="BI6" s="275">
        <v>0</v>
      </c>
      <c r="BJ6" s="275">
        <v>0</v>
      </c>
      <c r="BK6" s="275">
        <v>0</v>
      </c>
      <c r="BL6" s="275">
        <v>0</v>
      </c>
      <c r="BM6" s="275"/>
      <c r="BN6" s="275"/>
      <c r="BO6" s="275"/>
      <c r="BP6" s="275" t="s">
        <v>233</v>
      </c>
      <c r="BQ6" s="283">
        <v>163.58181818181816</v>
      </c>
      <c r="BR6" s="275"/>
      <c r="BS6" s="275"/>
      <c r="BT6" s="275"/>
      <c r="BU6" s="275"/>
      <c r="BV6" s="275"/>
      <c r="BW6" s="275" t="s">
        <v>233</v>
      </c>
      <c r="BX6" s="275"/>
      <c r="BY6" s="281"/>
      <c r="BZ6" s="272" t="s">
        <v>300</v>
      </c>
    </row>
    <row r="7" spans="1:78" x14ac:dyDescent="0.15">
      <c r="A7" s="272">
        <v>954</v>
      </c>
      <c r="B7" s="273">
        <v>43200</v>
      </c>
      <c r="C7" s="274" t="s">
        <v>230</v>
      </c>
      <c r="D7" s="272" t="s">
        <v>203</v>
      </c>
      <c r="E7" s="272"/>
      <c r="F7" s="272" t="s">
        <v>254</v>
      </c>
      <c r="G7" s="273">
        <v>43014</v>
      </c>
      <c r="H7" s="275" t="s">
        <v>221</v>
      </c>
      <c r="I7" s="275" t="s">
        <v>222</v>
      </c>
      <c r="J7" s="275"/>
      <c r="K7" s="272" t="s">
        <v>301</v>
      </c>
      <c r="L7" s="272" t="s">
        <v>302</v>
      </c>
      <c r="M7" s="276">
        <v>82.818181818181813</v>
      </c>
      <c r="N7" s="276">
        <v>20.909090909090907</v>
      </c>
      <c r="O7" s="272"/>
      <c r="P7" s="272"/>
      <c r="Q7" s="277"/>
      <c r="R7" s="272"/>
      <c r="S7" s="277"/>
      <c r="T7" s="278"/>
      <c r="U7" s="272"/>
      <c r="V7" s="277"/>
      <c r="W7" s="277"/>
      <c r="X7" s="272"/>
      <c r="Y7" s="272"/>
      <c r="Z7" s="272"/>
      <c r="AA7" s="272"/>
      <c r="AB7" s="272"/>
      <c r="AC7" s="272"/>
      <c r="AD7" s="272"/>
      <c r="AE7" s="277"/>
      <c r="AF7" s="277"/>
      <c r="AG7" s="272"/>
      <c r="AH7" s="272"/>
      <c r="AI7" s="277"/>
      <c r="AJ7" s="272"/>
      <c r="AK7" s="272"/>
      <c r="AL7" s="272"/>
      <c r="AM7" s="272"/>
      <c r="AN7" s="277"/>
      <c r="AO7" s="279"/>
      <c r="AP7" s="277"/>
      <c r="AQ7" s="277"/>
      <c r="AR7" s="272" t="s">
        <v>255</v>
      </c>
      <c r="AS7" s="275" t="s">
        <v>233</v>
      </c>
      <c r="AT7" s="275"/>
      <c r="AU7" s="275"/>
      <c r="AV7" s="275"/>
      <c r="AW7" s="275">
        <v>7</v>
      </c>
      <c r="AX7" s="275"/>
      <c r="AY7" s="275"/>
      <c r="AZ7" s="275"/>
      <c r="BA7" s="275" t="s">
        <v>222</v>
      </c>
      <c r="BB7" s="272"/>
      <c r="BC7" s="275">
        <v>0</v>
      </c>
      <c r="BD7" s="275">
        <v>0</v>
      </c>
      <c r="BE7" s="275">
        <v>0</v>
      </c>
      <c r="BF7" s="275">
        <v>0</v>
      </c>
      <c r="BG7" s="275">
        <v>0</v>
      </c>
      <c r="BH7" s="275">
        <v>0</v>
      </c>
      <c r="BI7" s="275">
        <v>0</v>
      </c>
      <c r="BJ7" s="275">
        <v>0</v>
      </c>
      <c r="BK7" s="275">
        <v>0</v>
      </c>
      <c r="BL7" s="275">
        <v>0</v>
      </c>
      <c r="BM7" s="275"/>
      <c r="BN7" s="275"/>
      <c r="BO7" s="275"/>
      <c r="BP7" s="275" t="s">
        <v>233</v>
      </c>
      <c r="BQ7" s="280"/>
      <c r="BR7" s="275"/>
      <c r="BS7" s="275"/>
      <c r="BT7" s="275"/>
      <c r="BU7" s="275"/>
      <c r="BV7" s="275"/>
      <c r="BW7" s="275" t="s">
        <v>233</v>
      </c>
      <c r="BX7" s="275">
        <v>1</v>
      </c>
      <c r="BY7" s="281"/>
      <c r="BZ7" s="272" t="s">
        <v>279</v>
      </c>
    </row>
    <row r="8" spans="1:78" x14ac:dyDescent="0.15">
      <c r="A8" s="272">
        <v>220</v>
      </c>
      <c r="B8" s="273">
        <v>43200</v>
      </c>
      <c r="C8" s="274" t="s">
        <v>230</v>
      </c>
      <c r="D8" s="272" t="s">
        <v>203</v>
      </c>
      <c r="E8" s="272"/>
      <c r="F8" s="272" t="s">
        <v>240</v>
      </c>
      <c r="G8" s="273">
        <v>42917</v>
      </c>
      <c r="H8" s="275" t="s">
        <v>232</v>
      </c>
      <c r="I8" s="275" t="s">
        <v>233</v>
      </c>
      <c r="J8" s="275"/>
      <c r="K8" s="272" t="s">
        <v>234</v>
      </c>
      <c r="L8" s="272" t="s">
        <v>235</v>
      </c>
      <c r="M8" s="276">
        <v>97.827272727272714</v>
      </c>
      <c r="N8" s="276">
        <v>27.563636363636363</v>
      </c>
      <c r="O8" s="179" t="s">
        <v>225</v>
      </c>
      <c r="P8" s="179">
        <v>500</v>
      </c>
      <c r="Q8" s="276">
        <v>20.390909090909091</v>
      </c>
      <c r="R8" s="272"/>
      <c r="S8" s="277"/>
      <c r="T8" s="278"/>
      <c r="U8" s="272"/>
      <c r="V8" s="277"/>
      <c r="W8" s="277"/>
      <c r="X8" s="272"/>
      <c r="Y8" s="272"/>
      <c r="Z8" s="272"/>
      <c r="AA8" s="272"/>
      <c r="AB8" s="272"/>
      <c r="AC8" s="272"/>
      <c r="AD8" s="272"/>
      <c r="AE8" s="277"/>
      <c r="AF8" s="276">
        <v>13.054545454545453</v>
      </c>
      <c r="AG8" s="272"/>
      <c r="AH8" s="272"/>
      <c r="AI8" s="277"/>
      <c r="AJ8" s="272"/>
      <c r="AK8" s="272"/>
      <c r="AL8" s="272"/>
      <c r="AM8" s="272"/>
      <c r="AN8" s="277"/>
      <c r="AO8" s="279"/>
      <c r="AP8" s="277"/>
      <c r="AQ8" s="277"/>
      <c r="AR8" s="272" t="s">
        <v>264</v>
      </c>
      <c r="AS8" s="275" t="s">
        <v>233</v>
      </c>
      <c r="AT8" s="275"/>
      <c r="AU8" s="275"/>
      <c r="AV8" s="275"/>
      <c r="AW8" s="275">
        <v>6.5010000000000003</v>
      </c>
      <c r="AX8" s="275"/>
      <c r="AY8" s="275"/>
      <c r="AZ8" s="275"/>
      <c r="BA8" s="275" t="s">
        <v>239</v>
      </c>
      <c r="BB8" s="272"/>
      <c r="BC8" s="275">
        <v>0</v>
      </c>
      <c r="BD8" s="275">
        <v>0</v>
      </c>
      <c r="BE8" s="275">
        <v>0</v>
      </c>
      <c r="BF8" s="275">
        <v>0</v>
      </c>
      <c r="BG8" s="275">
        <v>0</v>
      </c>
      <c r="BH8" s="275">
        <v>0</v>
      </c>
      <c r="BI8" s="275">
        <v>0</v>
      </c>
      <c r="BJ8" s="275">
        <v>0</v>
      </c>
      <c r="BK8" s="275">
        <v>0</v>
      </c>
      <c r="BL8" s="275">
        <v>0</v>
      </c>
      <c r="BM8" s="275"/>
      <c r="BN8" s="275"/>
      <c r="BO8" s="275"/>
      <c r="BP8" s="275" t="s">
        <v>232</v>
      </c>
      <c r="BQ8" s="280"/>
      <c r="BR8" s="275"/>
      <c r="BS8" s="275"/>
      <c r="BT8" s="272" t="s">
        <v>229</v>
      </c>
      <c r="BU8" s="281" t="s">
        <v>173</v>
      </c>
      <c r="BV8" s="275">
        <v>20</v>
      </c>
      <c r="BW8" s="275" t="s">
        <v>233</v>
      </c>
      <c r="BX8" s="275"/>
      <c r="BY8" s="272"/>
      <c r="BZ8" s="272" t="s">
        <v>303</v>
      </c>
    </row>
    <row r="9" spans="1:78" ht="13" customHeight="1" x14ac:dyDescent="0.15">
      <c r="A9" s="272">
        <v>20</v>
      </c>
      <c r="B9" s="273">
        <v>43200</v>
      </c>
      <c r="C9" s="274" t="s">
        <v>230</v>
      </c>
      <c r="D9" s="272" t="s">
        <v>203</v>
      </c>
      <c r="E9" s="272"/>
      <c r="F9" s="272" t="s">
        <v>240</v>
      </c>
      <c r="G9" s="273">
        <v>43047</v>
      </c>
      <c r="H9" s="275" t="s">
        <v>221</v>
      </c>
      <c r="I9" s="275" t="s">
        <v>222</v>
      </c>
      <c r="J9" s="275"/>
      <c r="K9" s="272" t="s">
        <v>207</v>
      </c>
      <c r="L9" s="272" t="s">
        <v>208</v>
      </c>
      <c r="M9" s="276">
        <v>96.836363636363629</v>
      </c>
      <c r="N9" s="276">
        <v>26.18181818181818</v>
      </c>
      <c r="O9" s="2" t="s">
        <v>225</v>
      </c>
      <c r="P9" s="2">
        <v>500</v>
      </c>
      <c r="Q9" s="276">
        <v>19.363636363636363</v>
      </c>
      <c r="R9" s="272"/>
      <c r="S9" s="277"/>
      <c r="T9" s="278"/>
      <c r="U9" s="272"/>
      <c r="V9" s="277"/>
      <c r="W9" s="277"/>
      <c r="X9" s="272"/>
      <c r="Y9" s="272"/>
      <c r="Z9" s="272"/>
      <c r="AA9" s="272"/>
      <c r="AB9" s="272"/>
      <c r="AC9" s="272"/>
      <c r="AD9" s="272"/>
      <c r="AE9" s="277"/>
      <c r="AF9" s="276">
        <v>12.390909090909091</v>
      </c>
      <c r="AG9" s="272"/>
      <c r="AH9" s="272"/>
      <c r="AI9" s="277"/>
      <c r="AJ9" s="272"/>
      <c r="AK9" s="272"/>
      <c r="AL9" s="272"/>
      <c r="AM9" s="272"/>
      <c r="AN9" s="277"/>
      <c r="AO9" s="279"/>
      <c r="AP9" s="277"/>
      <c r="AQ9" s="277"/>
      <c r="AR9" s="282" t="s">
        <v>242</v>
      </c>
      <c r="AS9" s="275" t="s">
        <v>233</v>
      </c>
      <c r="AT9" s="275"/>
      <c r="AU9" s="275"/>
      <c r="AV9" s="275"/>
      <c r="AW9" s="275">
        <v>6.5010000000000003</v>
      </c>
      <c r="AX9" s="275"/>
      <c r="AY9" s="275"/>
      <c r="AZ9" s="275"/>
      <c r="BA9" s="275" t="s">
        <v>233</v>
      </c>
      <c r="BB9" s="272"/>
      <c r="BC9" s="275">
        <v>0</v>
      </c>
      <c r="BD9" s="275">
        <v>0</v>
      </c>
      <c r="BE9" s="275">
        <v>0</v>
      </c>
      <c r="BF9" s="275">
        <v>5</v>
      </c>
      <c r="BG9" s="275">
        <v>0</v>
      </c>
      <c r="BH9" s="275">
        <v>0</v>
      </c>
      <c r="BI9" s="275">
        <v>0</v>
      </c>
      <c r="BJ9" s="275">
        <v>0</v>
      </c>
      <c r="BK9" s="275">
        <v>0</v>
      </c>
      <c r="BL9" s="275">
        <v>0</v>
      </c>
      <c r="BM9" s="275"/>
      <c r="BN9" s="275"/>
      <c r="BO9" s="275">
        <v>12</v>
      </c>
      <c r="BP9" s="275" t="s">
        <v>233</v>
      </c>
      <c r="BQ9" s="280"/>
      <c r="BR9" s="275"/>
      <c r="BS9" s="275"/>
      <c r="BT9" s="275"/>
      <c r="BU9" s="275"/>
      <c r="BV9" s="275"/>
      <c r="BW9" s="275" t="s">
        <v>233</v>
      </c>
      <c r="BX9" s="275">
        <v>1</v>
      </c>
      <c r="BY9" s="281"/>
      <c r="BZ9" s="272" t="s">
        <v>299</v>
      </c>
    </row>
    <row r="10" spans="1:78" ht="13" customHeight="1" x14ac:dyDescent="0.15">
      <c r="A10" s="272">
        <v>1921</v>
      </c>
      <c r="B10" s="273">
        <v>43200</v>
      </c>
      <c r="C10" s="274" t="s">
        <v>230</v>
      </c>
      <c r="D10" s="272" t="s">
        <v>203</v>
      </c>
      <c r="E10" s="272"/>
      <c r="F10" s="272" t="s">
        <v>240</v>
      </c>
      <c r="G10" s="273">
        <v>43040</v>
      </c>
      <c r="H10" s="275" t="s">
        <v>233</v>
      </c>
      <c r="I10" s="275" t="s">
        <v>295</v>
      </c>
      <c r="J10" s="275"/>
      <c r="K10" s="272" t="s">
        <v>296</v>
      </c>
      <c r="L10" s="272" t="s">
        <v>297</v>
      </c>
      <c r="M10" s="276">
        <v>97.827272727272714</v>
      </c>
      <c r="N10" s="276">
        <v>27.563636363636363</v>
      </c>
      <c r="O10" s="179" t="s">
        <v>225</v>
      </c>
      <c r="P10" s="179">
        <v>500</v>
      </c>
      <c r="Q10" s="276">
        <v>20.390909090909091</v>
      </c>
      <c r="R10" s="272"/>
      <c r="S10" s="277"/>
      <c r="T10" s="278"/>
      <c r="U10" s="272"/>
      <c r="V10" s="277"/>
      <c r="W10" s="277"/>
      <c r="X10" s="272"/>
      <c r="Y10" s="272"/>
      <c r="Z10" s="272"/>
      <c r="AA10" s="272"/>
      <c r="AB10" s="272"/>
      <c r="AC10" s="272"/>
      <c r="AD10" s="272"/>
      <c r="AE10" s="277"/>
      <c r="AF10" s="276">
        <v>13.054545454545453</v>
      </c>
      <c r="AG10" s="272"/>
      <c r="AH10" s="272"/>
      <c r="AI10" s="277"/>
      <c r="AJ10" s="272"/>
      <c r="AK10" s="272"/>
      <c r="AL10" s="272"/>
      <c r="AM10" s="272"/>
      <c r="AN10" s="277"/>
      <c r="AO10" s="279"/>
      <c r="AP10" s="277"/>
      <c r="AQ10" s="277"/>
      <c r="AR10" s="282" t="s">
        <v>242</v>
      </c>
      <c r="AS10" s="275" t="s">
        <v>233</v>
      </c>
      <c r="AT10" s="275"/>
      <c r="AU10" s="275"/>
      <c r="AV10" s="275"/>
      <c r="AW10" s="275"/>
      <c r="AX10" s="275"/>
      <c r="AY10" s="275"/>
      <c r="AZ10" s="275"/>
      <c r="BA10" s="275" t="s">
        <v>228</v>
      </c>
      <c r="BB10" s="272"/>
      <c r="BC10" s="275">
        <v>0</v>
      </c>
      <c r="BD10" s="275">
        <v>5</v>
      </c>
      <c r="BE10" s="275">
        <v>0</v>
      </c>
      <c r="BF10" s="275">
        <v>0</v>
      </c>
      <c r="BG10" s="275">
        <v>0</v>
      </c>
      <c r="BH10" s="275">
        <v>0</v>
      </c>
      <c r="BI10" s="275">
        <v>0</v>
      </c>
      <c r="BJ10" s="275">
        <v>0</v>
      </c>
      <c r="BK10" s="275">
        <v>0</v>
      </c>
      <c r="BL10" s="275">
        <v>0</v>
      </c>
      <c r="BM10" s="275"/>
      <c r="BN10" s="275"/>
      <c r="BO10" s="275"/>
      <c r="BP10" s="275" t="s">
        <v>233</v>
      </c>
      <c r="BQ10" s="280"/>
      <c r="BR10" s="275"/>
      <c r="BS10" s="275"/>
      <c r="BT10" s="281" t="s">
        <v>298</v>
      </c>
      <c r="BU10" s="281" t="s">
        <v>173</v>
      </c>
      <c r="BV10" s="275">
        <v>50</v>
      </c>
      <c r="BW10" s="275" t="s">
        <v>233</v>
      </c>
      <c r="BX10" s="275"/>
      <c r="BY10" s="281"/>
      <c r="BZ10" s="272" t="s">
        <v>299</v>
      </c>
    </row>
    <row r="11" spans="1:78" ht="13" customHeight="1" x14ac:dyDescent="0.15">
      <c r="A11" s="272">
        <v>593</v>
      </c>
      <c r="B11" s="273">
        <v>43200</v>
      </c>
      <c r="C11" s="274" t="s">
        <v>230</v>
      </c>
      <c r="D11" s="272" t="s">
        <v>203</v>
      </c>
      <c r="E11" s="272"/>
      <c r="F11" s="272" t="s">
        <v>240</v>
      </c>
      <c r="G11" s="273">
        <v>43176</v>
      </c>
      <c r="H11" s="275" t="s">
        <v>221</v>
      </c>
      <c r="I11" s="275" t="s">
        <v>222</v>
      </c>
      <c r="J11" s="275"/>
      <c r="K11" s="272" t="s">
        <v>280</v>
      </c>
      <c r="L11" s="272" t="s">
        <v>281</v>
      </c>
      <c r="M11" s="276">
        <v>91.818181818181813</v>
      </c>
      <c r="N11" s="276">
        <v>25.545454545454543</v>
      </c>
      <c r="O11" s="2" t="s">
        <v>225</v>
      </c>
      <c r="P11" s="2">
        <v>500</v>
      </c>
      <c r="Q11" s="276">
        <v>18.909090909090907</v>
      </c>
      <c r="R11" s="272"/>
      <c r="S11" s="277"/>
      <c r="T11" s="278"/>
      <c r="U11" s="272"/>
      <c r="V11" s="277"/>
      <c r="W11" s="277"/>
      <c r="X11" s="272"/>
      <c r="Y11" s="272"/>
      <c r="Z11" s="272"/>
      <c r="AA11" s="272"/>
      <c r="AB11" s="272"/>
      <c r="AC11" s="272"/>
      <c r="AD11" s="272"/>
      <c r="AE11" s="277"/>
      <c r="AF11" s="276">
        <v>14.545454545454545</v>
      </c>
      <c r="AG11" s="272"/>
      <c r="AH11" s="272"/>
      <c r="AI11" s="277"/>
      <c r="AJ11" s="272"/>
      <c r="AK11" s="272"/>
      <c r="AL11" s="272"/>
      <c r="AM11" s="272"/>
      <c r="AN11" s="277"/>
      <c r="AO11" s="279"/>
      <c r="AP11" s="277"/>
      <c r="AQ11" s="277"/>
      <c r="AR11" s="282" t="s">
        <v>242</v>
      </c>
      <c r="AS11" s="275" t="s">
        <v>233</v>
      </c>
      <c r="AT11" s="275"/>
      <c r="AU11" s="275"/>
      <c r="AV11" s="275"/>
      <c r="AW11" s="275">
        <v>6.6</v>
      </c>
      <c r="AX11" s="275"/>
      <c r="AY11" s="275"/>
      <c r="AZ11" s="275"/>
      <c r="BA11" s="275" t="s">
        <v>228</v>
      </c>
      <c r="BB11" s="272"/>
      <c r="BC11" s="275">
        <v>0</v>
      </c>
      <c r="BD11" s="275">
        <v>0</v>
      </c>
      <c r="BE11" s="275">
        <v>0</v>
      </c>
      <c r="BF11" s="275">
        <v>0</v>
      </c>
      <c r="BG11" s="275">
        <v>0</v>
      </c>
      <c r="BH11" s="275">
        <v>0</v>
      </c>
      <c r="BI11" s="275">
        <v>0</v>
      </c>
      <c r="BJ11" s="275">
        <v>0</v>
      </c>
      <c r="BK11" s="275">
        <v>0</v>
      </c>
      <c r="BL11" s="275">
        <v>0</v>
      </c>
      <c r="BM11" s="275"/>
      <c r="BN11" s="275"/>
      <c r="BO11" s="275"/>
      <c r="BP11" s="275" t="s">
        <v>233</v>
      </c>
      <c r="BQ11" s="283">
        <v>163.58181818181816</v>
      </c>
      <c r="BR11" s="275"/>
      <c r="BS11" s="275"/>
      <c r="BT11" s="275"/>
      <c r="BU11" s="275"/>
      <c r="BV11" s="275"/>
      <c r="BW11" s="275" t="s">
        <v>233</v>
      </c>
      <c r="BX11" s="275"/>
      <c r="BY11" s="281"/>
      <c r="BZ11" s="272" t="s">
        <v>304</v>
      </c>
    </row>
    <row r="12" spans="1:78" ht="13" customHeight="1" x14ac:dyDescent="0.15">
      <c r="A12" s="272">
        <v>223</v>
      </c>
      <c r="B12" s="273">
        <v>43200</v>
      </c>
      <c r="C12" s="274" t="s">
        <v>230</v>
      </c>
      <c r="D12" s="272" t="s">
        <v>203</v>
      </c>
      <c r="E12" s="272"/>
      <c r="F12" s="272" t="s">
        <v>231</v>
      </c>
      <c r="G12" s="273">
        <v>42917</v>
      </c>
      <c r="H12" s="275" t="s">
        <v>232</v>
      </c>
      <c r="I12" s="275" t="s">
        <v>233</v>
      </c>
      <c r="J12" s="275"/>
      <c r="K12" s="272" t="s">
        <v>234</v>
      </c>
      <c r="L12" s="272" t="s">
        <v>235</v>
      </c>
      <c r="M12" s="276">
        <v>89.854545454545445</v>
      </c>
      <c r="N12" s="276">
        <v>22.68181818181818</v>
      </c>
      <c r="O12" s="272"/>
      <c r="P12" s="272"/>
      <c r="Q12" s="277"/>
      <c r="R12" s="272"/>
      <c r="S12" s="277"/>
      <c r="T12" s="278"/>
      <c r="U12" s="272"/>
      <c r="V12" s="277"/>
      <c r="W12" s="276">
        <v>9.5909090909090899</v>
      </c>
      <c r="X12" s="272"/>
      <c r="Y12" s="272"/>
      <c r="Z12" s="272"/>
      <c r="AA12" s="272"/>
      <c r="AB12" s="272"/>
      <c r="AC12" s="272"/>
      <c r="AD12" s="272"/>
      <c r="AE12" s="277"/>
      <c r="AF12" s="277"/>
      <c r="AG12" s="272"/>
      <c r="AH12" s="272"/>
      <c r="AI12" s="276">
        <v>16.390909090909091</v>
      </c>
      <c r="AJ12" s="272"/>
      <c r="AK12" s="272"/>
      <c r="AL12" s="272"/>
      <c r="AM12" s="272"/>
      <c r="AN12" s="277"/>
      <c r="AO12" s="279"/>
      <c r="AP12" s="277"/>
      <c r="AQ12" s="277"/>
      <c r="AR12" s="272" t="s">
        <v>237</v>
      </c>
      <c r="AS12" s="275" t="s">
        <v>233</v>
      </c>
      <c r="AT12" s="275"/>
      <c r="AU12" s="275"/>
      <c r="AV12" s="275"/>
      <c r="AW12" s="275">
        <v>6.5010000000000003</v>
      </c>
      <c r="AX12" s="275"/>
      <c r="AY12" s="275"/>
      <c r="AZ12" s="275"/>
      <c r="BA12" s="275" t="s">
        <v>239</v>
      </c>
      <c r="BB12" s="272"/>
      <c r="BC12" s="275">
        <v>0</v>
      </c>
      <c r="BD12" s="275">
        <v>0</v>
      </c>
      <c r="BE12" s="275">
        <v>0</v>
      </c>
      <c r="BF12" s="275">
        <v>0</v>
      </c>
      <c r="BG12" s="275">
        <v>0</v>
      </c>
      <c r="BH12" s="275">
        <v>0</v>
      </c>
      <c r="BI12" s="275">
        <v>0</v>
      </c>
      <c r="BJ12" s="275">
        <v>0</v>
      </c>
      <c r="BK12" s="275">
        <v>0</v>
      </c>
      <c r="BL12" s="275">
        <v>0</v>
      </c>
      <c r="BM12" s="275"/>
      <c r="BN12" s="275"/>
      <c r="BO12" s="275"/>
      <c r="BP12" s="275" t="s">
        <v>221</v>
      </c>
      <c r="BQ12" s="280"/>
      <c r="BR12" s="275"/>
      <c r="BS12" s="275"/>
      <c r="BT12" s="272" t="s">
        <v>229</v>
      </c>
      <c r="BU12" s="281" t="s">
        <v>173</v>
      </c>
      <c r="BV12" s="275">
        <v>20</v>
      </c>
      <c r="BW12" s="275" t="s">
        <v>233</v>
      </c>
      <c r="BX12" s="275"/>
      <c r="BY12" s="272"/>
      <c r="BZ12" s="272" t="s">
        <v>305</v>
      </c>
    </row>
    <row r="13" spans="1:78" ht="13" customHeight="1" x14ac:dyDescent="0.15">
      <c r="A13" s="272">
        <v>22</v>
      </c>
      <c r="B13" s="273">
        <v>43200</v>
      </c>
      <c r="C13" s="274" t="s">
        <v>230</v>
      </c>
      <c r="D13" s="272" t="s">
        <v>203</v>
      </c>
      <c r="E13" s="272"/>
      <c r="F13" s="272" t="s">
        <v>231</v>
      </c>
      <c r="G13" s="273">
        <v>43047</v>
      </c>
      <c r="H13" s="275" t="s">
        <v>221</v>
      </c>
      <c r="I13" s="275" t="s">
        <v>222</v>
      </c>
      <c r="J13" s="275"/>
      <c r="K13" s="272" t="s">
        <v>207</v>
      </c>
      <c r="L13" s="272" t="s">
        <v>208</v>
      </c>
      <c r="M13" s="276">
        <v>88.954545454545439</v>
      </c>
      <c r="N13" s="276">
        <v>21.527272727272724</v>
      </c>
      <c r="O13" s="272"/>
      <c r="P13" s="272"/>
      <c r="Q13" s="277"/>
      <c r="R13" s="272"/>
      <c r="S13" s="277"/>
      <c r="T13" s="278"/>
      <c r="U13" s="272"/>
      <c r="V13" s="277"/>
      <c r="W13" s="276">
        <v>9.1</v>
      </c>
      <c r="X13" s="272"/>
      <c r="Y13" s="272"/>
      <c r="Z13" s="272"/>
      <c r="AA13" s="272"/>
      <c r="AB13" s="272"/>
      <c r="AC13" s="272"/>
      <c r="AD13" s="272"/>
      <c r="AE13" s="277"/>
      <c r="AF13" s="277"/>
      <c r="AG13" s="272"/>
      <c r="AH13" s="272"/>
      <c r="AI13" s="276">
        <v>15.572727272727271</v>
      </c>
      <c r="AJ13" s="272"/>
      <c r="AK13" s="272"/>
      <c r="AL13" s="272"/>
      <c r="AM13" s="272"/>
      <c r="AN13" s="277"/>
      <c r="AO13" s="279"/>
      <c r="AP13" s="277"/>
      <c r="AQ13" s="277"/>
      <c r="AR13" s="272" t="s">
        <v>237</v>
      </c>
      <c r="AS13" s="275" t="s">
        <v>233</v>
      </c>
      <c r="AT13" s="275"/>
      <c r="AU13" s="275"/>
      <c r="AV13" s="275"/>
      <c r="AW13" s="275">
        <v>6.5010000000000003</v>
      </c>
      <c r="AX13" s="275"/>
      <c r="AY13" s="275"/>
      <c r="AZ13" s="275"/>
      <c r="BA13" s="275" t="s">
        <v>233</v>
      </c>
      <c r="BB13" s="272"/>
      <c r="BC13" s="275">
        <v>0</v>
      </c>
      <c r="BD13" s="275">
        <v>0</v>
      </c>
      <c r="BE13" s="275">
        <v>0</v>
      </c>
      <c r="BF13" s="275">
        <v>5</v>
      </c>
      <c r="BG13" s="275">
        <v>0</v>
      </c>
      <c r="BH13" s="275">
        <v>0</v>
      </c>
      <c r="BI13" s="275">
        <v>0</v>
      </c>
      <c r="BJ13" s="275">
        <v>0</v>
      </c>
      <c r="BK13" s="275">
        <v>0</v>
      </c>
      <c r="BL13" s="275">
        <v>0</v>
      </c>
      <c r="BM13" s="275"/>
      <c r="BN13" s="275"/>
      <c r="BO13" s="275">
        <v>12</v>
      </c>
      <c r="BP13" s="275" t="s">
        <v>233</v>
      </c>
      <c r="BQ13" s="280"/>
      <c r="BR13" s="275"/>
      <c r="BS13" s="275"/>
      <c r="BT13" s="275"/>
      <c r="BU13" s="275"/>
      <c r="BV13" s="275"/>
      <c r="BW13" s="275" t="s">
        <v>233</v>
      </c>
      <c r="BX13" s="275">
        <v>1</v>
      </c>
      <c r="BY13" s="281"/>
      <c r="BZ13" s="272" t="s">
        <v>306</v>
      </c>
    </row>
    <row r="14" spans="1:78" x14ac:dyDescent="0.15">
      <c r="A14" s="272">
        <v>1922</v>
      </c>
      <c r="B14" s="273">
        <v>43200</v>
      </c>
      <c r="C14" s="274" t="s">
        <v>230</v>
      </c>
      <c r="D14" s="272" t="s">
        <v>203</v>
      </c>
      <c r="E14" s="272"/>
      <c r="F14" s="272" t="s">
        <v>231</v>
      </c>
      <c r="G14" s="273">
        <v>43040</v>
      </c>
      <c r="H14" s="275" t="s">
        <v>233</v>
      </c>
      <c r="I14" s="275" t="s">
        <v>295</v>
      </c>
      <c r="J14" s="275"/>
      <c r="K14" s="272" t="s">
        <v>296</v>
      </c>
      <c r="L14" s="272" t="s">
        <v>297</v>
      </c>
      <c r="M14" s="276">
        <v>89.854545454545445</v>
      </c>
      <c r="N14" s="276">
        <v>22.68181818181818</v>
      </c>
      <c r="O14" s="272"/>
      <c r="P14" s="272"/>
      <c r="Q14" s="277"/>
      <c r="R14" s="272"/>
      <c r="S14" s="277"/>
      <c r="T14" s="278"/>
      <c r="U14" s="272"/>
      <c r="V14" s="277"/>
      <c r="W14" s="276">
        <v>9.5909090909090899</v>
      </c>
      <c r="X14" s="272"/>
      <c r="Y14" s="272"/>
      <c r="Z14" s="272"/>
      <c r="AA14" s="272"/>
      <c r="AB14" s="272"/>
      <c r="AC14" s="272"/>
      <c r="AD14" s="272"/>
      <c r="AE14" s="277"/>
      <c r="AF14" s="277"/>
      <c r="AG14" s="272"/>
      <c r="AH14" s="272"/>
      <c r="AI14" s="276">
        <v>16.390909090909091</v>
      </c>
      <c r="AJ14" s="272"/>
      <c r="AK14" s="272"/>
      <c r="AL14" s="272"/>
      <c r="AM14" s="272"/>
      <c r="AN14" s="277"/>
      <c r="AO14" s="279"/>
      <c r="AP14" s="277"/>
      <c r="AQ14" s="277"/>
      <c r="AR14" s="272" t="s">
        <v>237</v>
      </c>
      <c r="AS14" s="275" t="s">
        <v>233</v>
      </c>
      <c r="AT14" s="275"/>
      <c r="AU14" s="275"/>
      <c r="AV14" s="275"/>
      <c r="AW14" s="275"/>
      <c r="AX14" s="275"/>
      <c r="AY14" s="275"/>
      <c r="AZ14" s="275"/>
      <c r="BA14" s="275" t="s">
        <v>228</v>
      </c>
      <c r="BB14" s="272"/>
      <c r="BC14" s="275">
        <v>0</v>
      </c>
      <c r="BD14" s="275">
        <v>5</v>
      </c>
      <c r="BE14" s="275">
        <v>0</v>
      </c>
      <c r="BF14" s="275">
        <v>0</v>
      </c>
      <c r="BG14" s="275">
        <v>0</v>
      </c>
      <c r="BH14" s="275">
        <v>0</v>
      </c>
      <c r="BI14" s="275">
        <v>0</v>
      </c>
      <c r="BJ14" s="275">
        <v>0</v>
      </c>
      <c r="BK14" s="275">
        <v>0</v>
      </c>
      <c r="BL14" s="275">
        <v>0</v>
      </c>
      <c r="BM14" s="275"/>
      <c r="BN14" s="275"/>
      <c r="BO14" s="275"/>
      <c r="BP14" s="275" t="s">
        <v>233</v>
      </c>
      <c r="BQ14" s="280"/>
      <c r="BR14" s="275"/>
      <c r="BS14" s="275"/>
      <c r="BT14" s="281" t="s">
        <v>298</v>
      </c>
      <c r="BU14" s="281" t="s">
        <v>173</v>
      </c>
      <c r="BV14" s="275">
        <v>50</v>
      </c>
      <c r="BW14" s="275" t="s">
        <v>233</v>
      </c>
      <c r="BX14" s="275"/>
      <c r="BY14" s="281"/>
      <c r="BZ14" s="272" t="s">
        <v>299</v>
      </c>
    </row>
    <row r="15" spans="1:78" x14ac:dyDescent="0.15">
      <c r="A15" s="272">
        <v>595</v>
      </c>
      <c r="B15" s="273">
        <v>43200</v>
      </c>
      <c r="C15" s="274" t="s">
        <v>230</v>
      </c>
      <c r="D15" s="272" t="s">
        <v>203</v>
      </c>
      <c r="E15" s="272"/>
      <c r="F15" s="272" t="s">
        <v>231</v>
      </c>
      <c r="G15" s="273">
        <v>43176</v>
      </c>
      <c r="H15" s="275" t="s">
        <v>221</v>
      </c>
      <c r="I15" s="275" t="s">
        <v>222</v>
      </c>
      <c r="J15" s="275"/>
      <c r="K15" s="272" t="s">
        <v>280</v>
      </c>
      <c r="L15" s="272" t="s">
        <v>281</v>
      </c>
      <c r="M15" s="276">
        <v>84.545454545454533</v>
      </c>
      <c r="N15" s="276">
        <v>20.909090909090907</v>
      </c>
      <c r="O15" s="272"/>
      <c r="P15" s="272"/>
      <c r="Q15" s="277"/>
      <c r="R15" s="272"/>
      <c r="S15" s="277"/>
      <c r="T15" s="278"/>
      <c r="U15" s="272"/>
      <c r="V15" s="277"/>
      <c r="W15" s="276">
        <v>9.0909090909090899</v>
      </c>
      <c r="X15" s="272"/>
      <c r="Y15" s="272"/>
      <c r="Z15" s="272"/>
      <c r="AA15" s="272"/>
      <c r="AB15" s="272"/>
      <c r="AC15" s="272"/>
      <c r="AD15" s="272"/>
      <c r="AE15" s="277"/>
      <c r="AF15" s="277"/>
      <c r="AG15" s="272"/>
      <c r="AH15" s="272"/>
      <c r="AI15" s="276">
        <v>15.454545454545453</v>
      </c>
      <c r="AJ15" s="272"/>
      <c r="AK15" s="272"/>
      <c r="AL15" s="272"/>
      <c r="AM15" s="272"/>
      <c r="AN15" s="277"/>
      <c r="AO15" s="279"/>
      <c r="AP15" s="277"/>
      <c r="AQ15" s="277"/>
      <c r="AR15" s="272" t="s">
        <v>237</v>
      </c>
      <c r="AS15" s="275" t="s">
        <v>233</v>
      </c>
      <c r="AT15" s="275"/>
      <c r="AU15" s="275"/>
      <c r="AV15" s="275"/>
      <c r="AW15" s="275">
        <v>6.6</v>
      </c>
      <c r="AX15" s="275"/>
      <c r="AY15" s="275"/>
      <c r="AZ15" s="275"/>
      <c r="BA15" s="275" t="s">
        <v>228</v>
      </c>
      <c r="BB15" s="272"/>
      <c r="BC15" s="275">
        <v>0</v>
      </c>
      <c r="BD15" s="275">
        <v>0</v>
      </c>
      <c r="BE15" s="275">
        <v>0</v>
      </c>
      <c r="BF15" s="275">
        <v>0</v>
      </c>
      <c r="BG15" s="275">
        <v>0</v>
      </c>
      <c r="BH15" s="275">
        <v>0</v>
      </c>
      <c r="BI15" s="275">
        <v>0</v>
      </c>
      <c r="BJ15" s="275">
        <v>0</v>
      </c>
      <c r="BK15" s="275">
        <v>0</v>
      </c>
      <c r="BL15" s="275">
        <v>0</v>
      </c>
      <c r="BM15" s="275"/>
      <c r="BN15" s="275"/>
      <c r="BO15" s="275"/>
      <c r="BP15" s="275" t="s">
        <v>233</v>
      </c>
      <c r="BQ15" s="283">
        <v>163.58181818181816</v>
      </c>
      <c r="BR15" s="275"/>
      <c r="BS15" s="275"/>
      <c r="BT15" s="275"/>
      <c r="BU15" s="275"/>
      <c r="BV15" s="275"/>
      <c r="BW15" s="275" t="s">
        <v>233</v>
      </c>
      <c r="BX15" s="275"/>
      <c r="BY15" s="281"/>
      <c r="BZ15" s="272" t="s">
        <v>307</v>
      </c>
    </row>
    <row r="16" spans="1:78" x14ac:dyDescent="0.15">
      <c r="A16" s="272">
        <v>955</v>
      </c>
      <c r="B16" s="273">
        <v>43200</v>
      </c>
      <c r="C16" s="274" t="s">
        <v>230</v>
      </c>
      <c r="D16" s="272" t="s">
        <v>203</v>
      </c>
      <c r="E16" s="272"/>
      <c r="F16" s="272" t="s">
        <v>231</v>
      </c>
      <c r="G16" s="273">
        <v>43015</v>
      </c>
      <c r="H16" s="275" t="s">
        <v>221</v>
      </c>
      <c r="I16" s="275" t="s">
        <v>222</v>
      </c>
      <c r="J16" s="275"/>
      <c r="K16" s="272" t="s">
        <v>301</v>
      </c>
      <c r="L16" s="272" t="s">
        <v>302</v>
      </c>
      <c r="M16" s="276">
        <v>89.863636363636346</v>
      </c>
      <c r="N16" s="276">
        <v>21.536363636363635</v>
      </c>
      <c r="O16" s="272"/>
      <c r="P16" s="272"/>
      <c r="Q16" s="277"/>
      <c r="R16" s="272"/>
      <c r="S16" s="277"/>
      <c r="T16" s="278"/>
      <c r="U16" s="272"/>
      <c r="V16" s="277"/>
      <c r="W16" s="276">
        <v>10.009090909090908</v>
      </c>
      <c r="X16" s="272"/>
      <c r="Y16" s="272"/>
      <c r="Z16" s="272"/>
      <c r="AA16" s="272"/>
      <c r="AB16" s="272"/>
      <c r="AC16" s="272"/>
      <c r="AD16" s="272"/>
      <c r="AE16" s="277"/>
      <c r="AF16" s="277"/>
      <c r="AG16" s="272"/>
      <c r="AH16" s="272"/>
      <c r="AI16" s="276">
        <v>19.09090909090909</v>
      </c>
      <c r="AJ16" s="272"/>
      <c r="AK16" s="272"/>
      <c r="AL16" s="272"/>
      <c r="AM16" s="272"/>
      <c r="AN16" s="277"/>
      <c r="AO16" s="279"/>
      <c r="AP16" s="277"/>
      <c r="AQ16" s="277"/>
      <c r="AR16" s="272" t="s">
        <v>237</v>
      </c>
      <c r="AS16" s="275" t="s">
        <v>233</v>
      </c>
      <c r="AT16" s="275"/>
      <c r="AU16" s="275"/>
      <c r="AV16" s="275"/>
      <c r="AW16" s="275">
        <v>7</v>
      </c>
      <c r="AX16" s="275"/>
      <c r="AY16" s="275"/>
      <c r="AZ16" s="275"/>
      <c r="BA16" s="275" t="s">
        <v>222</v>
      </c>
      <c r="BB16" s="272"/>
      <c r="BC16" s="275">
        <v>0</v>
      </c>
      <c r="BD16" s="275">
        <v>0</v>
      </c>
      <c r="BE16" s="275">
        <v>0</v>
      </c>
      <c r="BF16" s="275">
        <v>0</v>
      </c>
      <c r="BG16" s="275">
        <v>0</v>
      </c>
      <c r="BH16" s="275">
        <v>0</v>
      </c>
      <c r="BI16" s="275">
        <v>0</v>
      </c>
      <c r="BJ16" s="275">
        <v>0</v>
      </c>
      <c r="BK16" s="275">
        <v>0</v>
      </c>
      <c r="BL16" s="275">
        <v>0</v>
      </c>
      <c r="BM16" s="275"/>
      <c r="BN16" s="275"/>
      <c r="BO16" s="275"/>
      <c r="BP16" s="275" t="s">
        <v>233</v>
      </c>
      <c r="BQ16" s="280"/>
      <c r="BR16" s="275"/>
      <c r="BS16" s="275"/>
      <c r="BT16" s="275"/>
      <c r="BU16" s="275"/>
      <c r="BV16" s="275"/>
      <c r="BW16" s="275" t="s">
        <v>233</v>
      </c>
      <c r="BX16" s="275">
        <v>1</v>
      </c>
      <c r="BY16" s="281"/>
      <c r="BZ16" s="272" t="s">
        <v>308</v>
      </c>
    </row>
  </sheetData>
  <sheetProtection algorithmName="SHA-512" hashValue="C52Kw85NqEd57PecUfuQJhQItCpzlHtG82//DjQmQRYc2z1IdwrdwOCaHDQAk8oLURpq49RFm31038aHkRIRJg==" saltValue="oyjRvl2KUpp/zttFNBO+4Q==" spinCount="100000" sheet="1" objects="1" scenarios="1"/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9AD5-D6E6-FD4F-AE54-B40E161389F4}">
  <sheetPr codeName="Sheet22"/>
  <dimension ref="A1:BZ15"/>
  <sheetViews>
    <sheetView zoomScale="90" zoomScaleNormal="90" zoomScalePageLayoutView="125" workbookViewId="0">
      <selection activeCell="AR11" sqref="AR11:AR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43036</v>
      </c>
      <c r="C2" s="1" t="s">
        <v>219</v>
      </c>
      <c r="D2" s="161" t="s">
        <v>203</v>
      </c>
      <c r="E2" s="2"/>
      <c r="F2" s="2" t="s">
        <v>220</v>
      </c>
      <c r="G2" s="3">
        <v>42917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264">
        <v>82.954545454545453</v>
      </c>
      <c r="N2" s="264">
        <v>27.563636363636363</v>
      </c>
      <c r="O2" s="2" t="s">
        <v>225</v>
      </c>
      <c r="P2" s="2">
        <v>500</v>
      </c>
      <c r="Q2" s="264">
        <v>20.390909090909091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178"/>
      <c r="AR2" s="161" t="s">
        <v>226</v>
      </c>
      <c r="AS2" s="2" t="s">
        <v>222</v>
      </c>
      <c r="AT2" s="4"/>
      <c r="AV2" s="4" t="s">
        <v>227</v>
      </c>
      <c r="AW2" s="4">
        <v>6.5010000000000003</v>
      </c>
      <c r="AX2" s="4"/>
      <c r="AY2" s="4"/>
      <c r="AZ2" s="4"/>
      <c r="BA2" s="4" t="s">
        <v>228</v>
      </c>
      <c r="BB2" s="4"/>
      <c r="BC2" s="2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/>
      <c r="BN2" s="4" t="s">
        <v>222</v>
      </c>
      <c r="BO2" s="4"/>
      <c r="BP2" s="4" t="s">
        <v>221</v>
      </c>
      <c r="BQ2" s="4"/>
      <c r="BR2" s="4"/>
      <c r="BS2" s="4"/>
      <c r="BT2" s="4" t="s">
        <v>229</v>
      </c>
      <c r="BU2" s="2" t="s">
        <v>173</v>
      </c>
      <c r="BV2" s="46">
        <v>20</v>
      </c>
      <c r="BW2" s="4" t="s">
        <v>222</v>
      </c>
      <c r="BX2" s="4"/>
      <c r="BY2" s="4"/>
      <c r="BZ2" s="2" t="s">
        <v>283</v>
      </c>
    </row>
    <row r="3" spans="1:78" ht="13" customHeight="1" x14ac:dyDescent="0.15">
      <c r="A3" s="45">
        <v>4941</v>
      </c>
      <c r="B3" s="180">
        <v>43036</v>
      </c>
      <c r="C3" s="181" t="s">
        <v>219</v>
      </c>
      <c r="D3" s="179" t="s">
        <v>203</v>
      </c>
      <c r="E3" s="179"/>
      <c r="F3" s="179" t="s">
        <v>220</v>
      </c>
      <c r="G3" s="180">
        <v>42916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64">
        <v>82.954545454545453</v>
      </c>
      <c r="N3" s="264">
        <v>27.563636363636363</v>
      </c>
      <c r="O3" s="179" t="s">
        <v>225</v>
      </c>
      <c r="P3" s="179">
        <v>500</v>
      </c>
      <c r="Q3" s="264">
        <v>20.381818181818183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7"/>
      <c r="AR3" s="179" t="s">
        <v>226</v>
      </c>
      <c r="AS3" s="179" t="s">
        <v>222</v>
      </c>
      <c r="AT3" s="182"/>
      <c r="AU3" s="182"/>
      <c r="AV3" s="182" t="s">
        <v>227</v>
      </c>
      <c r="AW3" s="4">
        <v>6.5010000000000003</v>
      </c>
      <c r="AX3" s="182"/>
      <c r="AY3" s="182"/>
      <c r="AZ3" s="182"/>
      <c r="BA3" s="182" t="s">
        <v>222</v>
      </c>
      <c r="BB3" s="182"/>
      <c r="BC3" s="179">
        <v>0</v>
      </c>
      <c r="BD3" s="182">
        <v>0</v>
      </c>
      <c r="BE3" s="182">
        <v>0</v>
      </c>
      <c r="BF3" s="182">
        <v>5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>
        <v>0</v>
      </c>
      <c r="BM3" s="182"/>
      <c r="BN3" s="182"/>
      <c r="BO3" s="182">
        <v>12</v>
      </c>
      <c r="BP3" s="182" t="s">
        <v>222</v>
      </c>
      <c r="BQ3" s="182"/>
      <c r="BR3" s="182"/>
      <c r="BS3" s="182"/>
      <c r="BT3" s="182"/>
      <c r="BU3" s="182"/>
      <c r="BV3" s="182"/>
      <c r="BW3" s="182" t="s">
        <v>222</v>
      </c>
      <c r="BX3" s="182">
        <v>1</v>
      </c>
      <c r="BY3" s="182"/>
      <c r="BZ3" s="185" t="s">
        <v>284</v>
      </c>
    </row>
    <row r="4" spans="1:78" ht="13" customHeight="1" x14ac:dyDescent="0.15">
      <c r="A4" s="45">
        <v>90</v>
      </c>
      <c r="B4" s="180">
        <v>43036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285</v>
      </c>
      <c r="M4" s="264">
        <v>85.909090909090907</v>
      </c>
      <c r="N4" s="264">
        <v>28.54545454545454</v>
      </c>
      <c r="O4" s="179" t="s">
        <v>225</v>
      </c>
      <c r="P4" s="179">
        <v>500</v>
      </c>
      <c r="Q4" s="264">
        <v>21.09090909090909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7"/>
      <c r="AR4" s="179" t="s">
        <v>226</v>
      </c>
      <c r="AS4" s="179" t="s">
        <v>222</v>
      </c>
      <c r="AT4" s="182"/>
      <c r="AU4" s="247"/>
      <c r="AV4" s="182"/>
      <c r="AW4" s="182"/>
      <c r="AX4" s="182"/>
      <c r="AY4" s="182"/>
      <c r="AZ4" s="182"/>
      <c r="BA4" s="182" t="s">
        <v>222</v>
      </c>
      <c r="BB4" s="182"/>
      <c r="BC4" s="179">
        <v>0</v>
      </c>
      <c r="BD4" s="182">
        <v>0</v>
      </c>
      <c r="BE4" s="182">
        <v>3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>
        <v>0</v>
      </c>
      <c r="BM4" s="182"/>
      <c r="BN4" s="182" t="s">
        <v>222</v>
      </c>
      <c r="BO4" s="182"/>
      <c r="BP4" s="182" t="s">
        <v>222</v>
      </c>
      <c r="BQ4" s="182"/>
      <c r="BR4" s="182"/>
      <c r="BS4" s="182"/>
      <c r="BT4" s="182"/>
      <c r="BU4" s="182"/>
      <c r="BV4" s="182"/>
      <c r="BW4" s="182" t="s">
        <v>222</v>
      </c>
      <c r="BX4" s="182">
        <v>1</v>
      </c>
      <c r="BY4" s="182"/>
      <c r="BZ4" s="257" t="s">
        <v>262</v>
      </c>
    </row>
    <row r="5" spans="1:78" x14ac:dyDescent="0.15">
      <c r="A5" s="45">
        <v>1930</v>
      </c>
      <c r="B5" s="180">
        <v>43036</v>
      </c>
      <c r="C5" s="1" t="s">
        <v>219</v>
      </c>
      <c r="D5" s="161" t="s">
        <v>203</v>
      </c>
      <c r="E5" s="2"/>
      <c r="F5" s="2" t="s">
        <v>220</v>
      </c>
      <c r="G5" s="3">
        <v>43025</v>
      </c>
      <c r="H5" s="4" t="s">
        <v>221</v>
      </c>
      <c r="I5" s="4" t="s">
        <v>222</v>
      </c>
      <c r="J5" s="4"/>
      <c r="K5" s="161" t="s">
        <v>274</v>
      </c>
      <c r="L5" s="161" t="s">
        <v>275</v>
      </c>
      <c r="M5" s="264">
        <v>82.954545454545453</v>
      </c>
      <c r="N5" s="264">
        <v>27.563636363636363</v>
      </c>
      <c r="O5" s="2" t="s">
        <v>225</v>
      </c>
      <c r="P5" s="2">
        <v>500</v>
      </c>
      <c r="Q5" s="264">
        <v>20.390909090909091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/>
      <c r="AG5" s="2"/>
      <c r="AH5" s="2"/>
      <c r="AI5" s="178"/>
      <c r="AJ5" s="2"/>
      <c r="AK5" s="2"/>
      <c r="AL5" s="2"/>
      <c r="AM5" s="2"/>
      <c r="AN5" s="178"/>
      <c r="AO5" s="2"/>
      <c r="AP5" s="178"/>
      <c r="AQ5" s="178"/>
      <c r="AR5" s="161" t="s">
        <v>226</v>
      </c>
      <c r="AS5" s="2" t="s">
        <v>222</v>
      </c>
      <c r="AT5" s="4"/>
      <c r="AV5" s="4"/>
      <c r="AW5" s="4"/>
      <c r="AX5" s="4"/>
      <c r="AY5" s="4"/>
      <c r="AZ5" s="4"/>
      <c r="BA5" s="4" t="s">
        <v>228</v>
      </c>
      <c r="BB5" s="4"/>
      <c r="BC5" s="2">
        <v>0</v>
      </c>
      <c r="BD5" s="4">
        <v>0</v>
      </c>
      <c r="BE5" s="4">
        <v>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/>
      <c r="BN5" s="4" t="s">
        <v>222</v>
      </c>
      <c r="BO5" s="4"/>
      <c r="BP5" s="259" t="s">
        <v>222</v>
      </c>
      <c r="BQ5" s="4"/>
      <c r="BR5" s="4"/>
      <c r="BS5" s="4"/>
      <c r="BT5" s="4"/>
      <c r="BU5" s="2"/>
      <c r="BV5" s="46"/>
      <c r="BW5" s="4" t="s">
        <v>222</v>
      </c>
      <c r="BX5" s="4"/>
      <c r="BY5" s="4"/>
      <c r="BZ5" s="2" t="s">
        <v>276</v>
      </c>
    </row>
    <row r="6" spans="1:78" x14ac:dyDescent="0.15">
      <c r="A6" s="45">
        <v>1930</v>
      </c>
      <c r="B6" s="180">
        <v>43036</v>
      </c>
      <c r="C6" s="1" t="s">
        <v>219</v>
      </c>
      <c r="D6" s="161" t="s">
        <v>203</v>
      </c>
      <c r="E6" s="2"/>
      <c r="F6" s="2" t="s">
        <v>220</v>
      </c>
      <c r="G6" s="3">
        <v>43006</v>
      </c>
      <c r="H6" s="4" t="s">
        <v>221</v>
      </c>
      <c r="I6" s="4" t="s">
        <v>222</v>
      </c>
      <c r="J6" s="4"/>
      <c r="K6" s="161" t="s">
        <v>280</v>
      </c>
      <c r="L6" s="161" t="s">
        <v>281</v>
      </c>
      <c r="M6" s="264">
        <v>77.272727272727266</v>
      </c>
      <c r="N6" s="264">
        <v>25.545454545454543</v>
      </c>
      <c r="O6" s="2" t="s">
        <v>225</v>
      </c>
      <c r="P6" s="2">
        <v>500</v>
      </c>
      <c r="Q6" s="264">
        <v>18.909090909090907</v>
      </c>
      <c r="R6" s="2"/>
      <c r="S6" s="178"/>
      <c r="T6" s="162"/>
      <c r="U6" s="2"/>
      <c r="V6" s="178"/>
      <c r="W6" s="178"/>
      <c r="X6" s="2"/>
      <c r="Y6" s="2"/>
      <c r="Z6" s="2"/>
      <c r="AA6" s="2"/>
      <c r="AB6" s="2"/>
      <c r="AC6" s="2"/>
      <c r="AD6" s="2"/>
      <c r="AE6" s="178"/>
      <c r="AF6" s="178"/>
      <c r="AG6" s="2"/>
      <c r="AH6" s="2"/>
      <c r="AI6" s="178"/>
      <c r="AJ6" s="2"/>
      <c r="AK6" s="2"/>
      <c r="AL6" s="2"/>
      <c r="AM6" s="2"/>
      <c r="AN6" s="178"/>
      <c r="AO6" s="2"/>
      <c r="AP6" s="178"/>
      <c r="AQ6" s="178"/>
      <c r="AR6" s="161" t="s">
        <v>226</v>
      </c>
      <c r="AS6" s="2" t="s">
        <v>222</v>
      </c>
      <c r="AT6" s="4"/>
      <c r="AV6" s="259" t="s">
        <v>227</v>
      </c>
      <c r="AW6" s="4">
        <v>6.6</v>
      </c>
      <c r="AX6" s="4"/>
      <c r="AY6" s="4"/>
      <c r="AZ6" s="4"/>
      <c r="BA6" s="4" t="s">
        <v>228</v>
      </c>
      <c r="BB6" s="4"/>
      <c r="BC6" s="2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/>
      <c r="BN6" s="4" t="s">
        <v>222</v>
      </c>
      <c r="BO6" s="4"/>
      <c r="BP6" s="259" t="s">
        <v>222</v>
      </c>
      <c r="BQ6" s="265">
        <v>163.58181818181816</v>
      </c>
      <c r="BR6" s="4"/>
      <c r="BS6" s="4"/>
      <c r="BT6" s="4"/>
      <c r="BU6" s="2"/>
      <c r="BV6" s="46"/>
      <c r="BW6" s="4" t="s">
        <v>222</v>
      </c>
      <c r="BX6" s="4"/>
      <c r="BY6" s="4"/>
      <c r="BZ6" s="2" t="s">
        <v>282</v>
      </c>
    </row>
    <row r="7" spans="1:78" x14ac:dyDescent="0.15">
      <c r="A7" s="45">
        <v>1930</v>
      </c>
      <c r="B7" s="180">
        <v>43036</v>
      </c>
      <c r="C7" s="1" t="s">
        <v>219</v>
      </c>
      <c r="D7" s="161" t="s">
        <v>203</v>
      </c>
      <c r="E7" s="2"/>
      <c r="F7" s="2" t="s">
        <v>220</v>
      </c>
      <c r="G7" s="3">
        <v>43014</v>
      </c>
      <c r="H7" s="4" t="s">
        <v>221</v>
      </c>
      <c r="I7" s="4" t="s">
        <v>222</v>
      </c>
      <c r="J7" s="4"/>
      <c r="K7" s="161" t="s">
        <v>277</v>
      </c>
      <c r="L7" s="161" t="s">
        <v>278</v>
      </c>
      <c r="M7" s="264">
        <v>82.818181818181813</v>
      </c>
      <c r="N7" s="264">
        <v>20.909090909090907</v>
      </c>
      <c r="O7" s="2"/>
      <c r="P7" s="2"/>
      <c r="Q7" s="258"/>
      <c r="R7" s="2"/>
      <c r="S7" s="178"/>
      <c r="T7" s="162"/>
      <c r="U7" s="2"/>
      <c r="V7" s="178"/>
      <c r="W7" s="178"/>
      <c r="X7" s="2"/>
      <c r="Y7" s="2"/>
      <c r="Z7" s="2"/>
      <c r="AA7" s="2"/>
      <c r="AB7" s="2"/>
      <c r="AC7" s="2"/>
      <c r="AD7" s="2"/>
      <c r="AE7" s="178"/>
      <c r="AF7" s="178"/>
      <c r="AG7" s="2"/>
      <c r="AH7" s="2"/>
      <c r="AI7" s="178"/>
      <c r="AJ7" s="2"/>
      <c r="AK7" s="2"/>
      <c r="AL7" s="2"/>
      <c r="AM7" s="2"/>
      <c r="AN7" s="178"/>
      <c r="AO7" s="2"/>
      <c r="AP7" s="178"/>
      <c r="AQ7" s="178"/>
      <c r="AR7" s="161" t="s">
        <v>226</v>
      </c>
      <c r="AS7" s="2" t="s">
        <v>222</v>
      </c>
      <c r="AT7" s="4"/>
      <c r="AV7" s="259" t="s">
        <v>227</v>
      </c>
      <c r="AW7" s="4">
        <v>7</v>
      </c>
      <c r="AX7" s="4"/>
      <c r="AY7" s="4"/>
      <c r="AZ7" s="4"/>
      <c r="BA7" s="4" t="s">
        <v>228</v>
      </c>
      <c r="BB7" s="4"/>
      <c r="BC7" s="2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/>
      <c r="BN7" s="4" t="s">
        <v>222</v>
      </c>
      <c r="BO7" s="4"/>
      <c r="BP7" s="259" t="s">
        <v>222</v>
      </c>
      <c r="BQ7" s="4"/>
      <c r="BR7" s="4"/>
      <c r="BS7" s="4"/>
      <c r="BT7" s="4"/>
      <c r="BU7" s="2"/>
      <c r="BV7" s="46"/>
      <c r="BW7" s="4" t="s">
        <v>222</v>
      </c>
      <c r="BX7" s="4">
        <v>1</v>
      </c>
      <c r="BY7" s="4"/>
      <c r="BZ7" s="2" t="s">
        <v>279</v>
      </c>
    </row>
    <row r="8" spans="1:78" x14ac:dyDescent="0.15">
      <c r="A8" s="45">
        <v>1928</v>
      </c>
      <c r="B8" s="180">
        <v>43036</v>
      </c>
      <c r="C8" s="1" t="s">
        <v>219</v>
      </c>
      <c r="D8" s="161" t="s">
        <v>203</v>
      </c>
      <c r="E8" s="2"/>
      <c r="F8" s="2" t="s">
        <v>263</v>
      </c>
      <c r="G8" s="3">
        <v>42917</v>
      </c>
      <c r="H8" s="4" t="s">
        <v>221</v>
      </c>
      <c r="I8" s="4" t="s">
        <v>222</v>
      </c>
      <c r="J8" s="4"/>
      <c r="K8" s="2" t="s">
        <v>223</v>
      </c>
      <c r="L8" s="2" t="s">
        <v>224</v>
      </c>
      <c r="M8" s="264">
        <v>102.02727272727272</v>
      </c>
      <c r="N8" s="264">
        <v>27.563636363636363</v>
      </c>
      <c r="O8" s="2" t="s">
        <v>225</v>
      </c>
      <c r="P8" s="2">
        <v>500</v>
      </c>
      <c r="Q8" s="264">
        <v>20.390909090909091</v>
      </c>
      <c r="R8" s="2"/>
      <c r="S8" s="178"/>
      <c r="T8" s="162"/>
      <c r="U8" s="2"/>
      <c r="V8" s="178"/>
      <c r="W8" s="178"/>
      <c r="X8" s="2"/>
      <c r="Y8" s="2"/>
      <c r="Z8" s="2"/>
      <c r="AA8" s="2"/>
      <c r="AB8" s="2"/>
      <c r="AC8" s="2"/>
      <c r="AD8" s="2"/>
      <c r="AE8" s="178"/>
      <c r="AF8" s="264">
        <v>11.736363636363636</v>
      </c>
      <c r="AG8" s="2"/>
      <c r="AH8" s="2"/>
      <c r="AI8" s="178"/>
      <c r="AJ8" s="2"/>
      <c r="AK8" s="2"/>
      <c r="AL8" s="2"/>
      <c r="AM8" s="2"/>
      <c r="AN8" s="178"/>
      <c r="AO8" s="2"/>
      <c r="AP8" s="178"/>
      <c r="AQ8" s="178"/>
      <c r="AR8" s="161" t="s">
        <v>264</v>
      </c>
      <c r="AS8" s="2" t="s">
        <v>222</v>
      </c>
      <c r="AT8" s="4"/>
      <c r="AV8" s="4" t="s">
        <v>227</v>
      </c>
      <c r="AW8" s="4">
        <v>6.5010000000000003</v>
      </c>
      <c r="AX8" s="4"/>
      <c r="AY8" s="4"/>
      <c r="AZ8" s="4"/>
      <c r="BA8" s="4" t="s">
        <v>228</v>
      </c>
      <c r="BB8" s="4"/>
      <c r="BC8" s="2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/>
      <c r="BN8" s="4" t="s">
        <v>222</v>
      </c>
      <c r="BO8" s="4"/>
      <c r="BP8" s="4" t="s">
        <v>221</v>
      </c>
      <c r="BQ8" s="4"/>
      <c r="BR8" s="4"/>
      <c r="BS8" s="4"/>
      <c r="BT8" s="4" t="s">
        <v>229</v>
      </c>
      <c r="BU8" s="179" t="s">
        <v>173</v>
      </c>
      <c r="BV8" s="46">
        <v>20</v>
      </c>
      <c r="BW8" s="182" t="s">
        <v>222</v>
      </c>
      <c r="BX8" s="4"/>
      <c r="BY8" s="4"/>
      <c r="BZ8" s="2" t="s">
        <v>286</v>
      </c>
    </row>
    <row r="9" spans="1:78" ht="13" customHeight="1" x14ac:dyDescent="0.15">
      <c r="A9" s="45">
        <v>4939</v>
      </c>
      <c r="B9" s="180">
        <v>43036</v>
      </c>
      <c r="C9" s="181" t="s">
        <v>219</v>
      </c>
      <c r="D9" s="179" t="s">
        <v>203</v>
      </c>
      <c r="E9" s="179"/>
      <c r="F9" s="179" t="s">
        <v>263</v>
      </c>
      <c r="G9" s="180">
        <v>42916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264">
        <v>101.47272727272727</v>
      </c>
      <c r="N9" s="264">
        <v>27.563636363636363</v>
      </c>
      <c r="O9" s="179" t="s">
        <v>225</v>
      </c>
      <c r="P9" s="179">
        <v>500</v>
      </c>
      <c r="Q9" s="264">
        <v>20.381818181818183</v>
      </c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264">
        <v>11.727272727272727</v>
      </c>
      <c r="AG9" s="179"/>
      <c r="AH9" s="179"/>
      <c r="AI9" s="227"/>
      <c r="AJ9" s="179"/>
      <c r="AK9" s="179"/>
      <c r="AL9" s="179"/>
      <c r="AM9" s="179"/>
      <c r="AN9" s="183"/>
      <c r="AO9" s="228"/>
      <c r="AP9" s="227"/>
      <c r="AQ9" s="227"/>
      <c r="AR9" s="179" t="s">
        <v>264</v>
      </c>
      <c r="AS9" s="179" t="s">
        <v>222</v>
      </c>
      <c r="AT9" s="182"/>
      <c r="AU9" s="182"/>
      <c r="AV9" s="182" t="s">
        <v>227</v>
      </c>
      <c r="AW9" s="4">
        <v>6.5010000000000003</v>
      </c>
      <c r="AX9" s="182"/>
      <c r="AY9" s="182"/>
      <c r="AZ9" s="182"/>
      <c r="BA9" s="182" t="s">
        <v>222</v>
      </c>
      <c r="BB9" s="182"/>
      <c r="BC9" s="179">
        <v>0</v>
      </c>
      <c r="BD9" s="182">
        <v>0</v>
      </c>
      <c r="BE9" s="182">
        <v>0</v>
      </c>
      <c r="BF9" s="182">
        <v>5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>
        <v>0</v>
      </c>
      <c r="BM9" s="182"/>
      <c r="BN9" s="182"/>
      <c r="BO9" s="182">
        <v>12</v>
      </c>
      <c r="BP9" s="182" t="s">
        <v>222</v>
      </c>
      <c r="BQ9" s="182"/>
      <c r="BR9" s="182"/>
      <c r="BS9" s="182"/>
      <c r="BT9" s="182"/>
      <c r="BU9" s="182"/>
      <c r="BV9" s="182"/>
      <c r="BW9" s="182" t="s">
        <v>222</v>
      </c>
      <c r="BX9" s="182">
        <v>1</v>
      </c>
      <c r="BY9" s="182"/>
      <c r="BZ9" s="185" t="s">
        <v>287</v>
      </c>
    </row>
    <row r="10" spans="1:78" ht="13" customHeight="1" x14ac:dyDescent="0.15">
      <c r="A10" s="45">
        <v>88</v>
      </c>
      <c r="B10" s="180">
        <v>43036</v>
      </c>
      <c r="C10" s="181" t="s">
        <v>219</v>
      </c>
      <c r="D10" s="179" t="s">
        <v>203</v>
      </c>
      <c r="E10" s="179"/>
      <c r="F10" s="179" t="s">
        <v>263</v>
      </c>
      <c r="G10" s="180">
        <v>42452</v>
      </c>
      <c r="H10" s="182" t="s">
        <v>221</v>
      </c>
      <c r="I10" s="182" t="s">
        <v>222</v>
      </c>
      <c r="J10" s="182"/>
      <c r="K10" s="179" t="s">
        <v>260</v>
      </c>
      <c r="L10" s="179" t="s">
        <v>285</v>
      </c>
      <c r="M10" s="264">
        <v>92.999999999999986</v>
      </c>
      <c r="N10" s="264">
        <v>28.54545454545454</v>
      </c>
      <c r="O10" s="179" t="s">
        <v>225</v>
      </c>
      <c r="P10" s="179">
        <v>500</v>
      </c>
      <c r="Q10" s="264">
        <v>21.09090909090909</v>
      </c>
      <c r="R10" s="179"/>
      <c r="S10" s="227"/>
      <c r="T10" s="184"/>
      <c r="U10" s="179"/>
      <c r="V10" s="227"/>
      <c r="W10" s="227"/>
      <c r="X10" s="179"/>
      <c r="Y10" s="179"/>
      <c r="Z10" s="179"/>
      <c r="AA10" s="179"/>
      <c r="AB10" s="179"/>
      <c r="AC10" s="179"/>
      <c r="AD10" s="179"/>
      <c r="AE10" s="227"/>
      <c r="AF10" s="264">
        <v>13.545454545454543</v>
      </c>
      <c r="AG10" s="179"/>
      <c r="AH10" s="179"/>
      <c r="AI10" s="227"/>
      <c r="AJ10" s="179"/>
      <c r="AK10" s="179"/>
      <c r="AL10" s="179"/>
      <c r="AM10" s="179"/>
      <c r="AN10" s="183"/>
      <c r="AO10" s="228"/>
      <c r="AP10" s="227"/>
      <c r="AQ10" s="227"/>
      <c r="AR10" s="179" t="s">
        <v>264</v>
      </c>
      <c r="AS10" s="179" t="s">
        <v>222</v>
      </c>
      <c r="AT10" s="182"/>
      <c r="AU10" s="182"/>
      <c r="AV10" s="182"/>
      <c r="AW10" s="182"/>
      <c r="AX10" s="182"/>
      <c r="AY10" s="182"/>
      <c r="AZ10" s="182"/>
      <c r="BA10" s="182" t="s">
        <v>222</v>
      </c>
      <c r="BB10" s="182"/>
      <c r="BC10" s="179">
        <v>0</v>
      </c>
      <c r="BD10" s="182">
        <v>0</v>
      </c>
      <c r="BE10" s="182">
        <v>3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>
        <v>0</v>
      </c>
      <c r="BM10" s="182"/>
      <c r="BN10" s="182" t="s">
        <v>222</v>
      </c>
      <c r="BO10" s="182"/>
      <c r="BP10" s="182" t="s">
        <v>222</v>
      </c>
      <c r="BQ10" s="182"/>
      <c r="BR10" s="182"/>
      <c r="BS10" s="182"/>
      <c r="BT10" s="182"/>
      <c r="BU10" s="182"/>
      <c r="BV10" s="182"/>
      <c r="BW10" s="182" t="s">
        <v>222</v>
      </c>
      <c r="BX10" s="182">
        <v>1</v>
      </c>
      <c r="BY10" s="182"/>
      <c r="BZ10" s="185" t="s">
        <v>267</v>
      </c>
    </row>
    <row r="11" spans="1:78" ht="13" customHeight="1" x14ac:dyDescent="0.15">
      <c r="A11" s="45">
        <v>1931</v>
      </c>
      <c r="B11" s="180">
        <v>43036</v>
      </c>
      <c r="C11" s="181" t="s">
        <v>219</v>
      </c>
      <c r="D11" s="179" t="s">
        <v>203</v>
      </c>
      <c r="E11" s="179"/>
      <c r="F11" s="179" t="s">
        <v>268</v>
      </c>
      <c r="G11" s="180">
        <v>42917</v>
      </c>
      <c r="H11" s="182" t="s">
        <v>221</v>
      </c>
      <c r="I11" s="182" t="s">
        <v>222</v>
      </c>
      <c r="J11" s="182"/>
      <c r="K11" s="179" t="s">
        <v>223</v>
      </c>
      <c r="L11" s="179" t="s">
        <v>224</v>
      </c>
      <c r="M11" s="264">
        <v>89.854545454545445</v>
      </c>
      <c r="N11" s="264">
        <v>22.68181818181818</v>
      </c>
      <c r="O11" s="179"/>
      <c r="P11" s="179"/>
      <c r="Q11" s="183"/>
      <c r="R11" s="179"/>
      <c r="S11" s="183"/>
      <c r="T11" s="184"/>
      <c r="U11" s="179"/>
      <c r="V11" s="183"/>
      <c r="W11" s="264">
        <v>9.5909090909090899</v>
      </c>
      <c r="X11" s="179"/>
      <c r="Y11" s="179"/>
      <c r="Z11" s="179"/>
      <c r="AA11" s="179"/>
      <c r="AB11" s="179"/>
      <c r="AC11" s="179"/>
      <c r="AD11" s="179"/>
      <c r="AE11" s="183"/>
      <c r="AF11" s="183"/>
      <c r="AG11" s="179"/>
      <c r="AH11" s="179"/>
      <c r="AI11" s="264">
        <v>16.390909090909091</v>
      </c>
      <c r="AJ11" s="179"/>
      <c r="AK11" s="179"/>
      <c r="AL11" s="179"/>
      <c r="AM11" s="179"/>
      <c r="AN11" s="183"/>
      <c r="AO11" s="179"/>
      <c r="AP11" s="183"/>
      <c r="AQ11" s="183"/>
      <c r="AR11" s="179" t="s">
        <v>269</v>
      </c>
      <c r="AS11" s="179" t="s">
        <v>222</v>
      </c>
      <c r="AT11" s="182"/>
      <c r="AU11" s="182"/>
      <c r="AV11" s="182" t="s">
        <v>227</v>
      </c>
      <c r="AW11" s="4">
        <v>6.5010000000000003</v>
      </c>
      <c r="AX11" s="182"/>
      <c r="AY11" s="182"/>
      <c r="AZ11" s="182"/>
      <c r="BA11" s="182" t="s">
        <v>228</v>
      </c>
      <c r="BB11" s="182"/>
      <c r="BC11" s="179">
        <v>0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0</v>
      </c>
      <c r="BM11" s="182"/>
      <c r="BN11" s="182" t="s">
        <v>222</v>
      </c>
      <c r="BO11" s="182"/>
      <c r="BP11" s="182" t="s">
        <v>222</v>
      </c>
      <c r="BQ11" s="4"/>
      <c r="BR11" s="182"/>
      <c r="BS11" s="182"/>
      <c r="BT11" s="182" t="s">
        <v>229</v>
      </c>
      <c r="BU11" s="179" t="s">
        <v>173</v>
      </c>
      <c r="BV11" s="185">
        <v>20</v>
      </c>
      <c r="BW11" s="182" t="s">
        <v>222</v>
      </c>
      <c r="BX11" s="182"/>
      <c r="BY11" s="182"/>
      <c r="BZ11" s="179" t="s">
        <v>288</v>
      </c>
    </row>
    <row r="12" spans="1:78" ht="13" customHeight="1" x14ac:dyDescent="0.15">
      <c r="A12" s="45">
        <v>4942</v>
      </c>
      <c r="B12" s="180">
        <v>43036</v>
      </c>
      <c r="C12" s="181" t="s">
        <v>219</v>
      </c>
      <c r="D12" s="179" t="s">
        <v>203</v>
      </c>
      <c r="E12" s="179"/>
      <c r="F12" s="179" t="s">
        <v>268</v>
      </c>
      <c r="G12" s="180">
        <v>42916</v>
      </c>
      <c r="H12" s="182" t="s">
        <v>221</v>
      </c>
      <c r="I12" s="182" t="s">
        <v>222</v>
      </c>
      <c r="J12" s="182"/>
      <c r="K12" s="179" t="s">
        <v>207</v>
      </c>
      <c r="L12" s="179" t="s">
        <v>208</v>
      </c>
      <c r="M12" s="264">
        <v>89.854545454545445</v>
      </c>
      <c r="N12" s="264">
        <v>22.672727272727272</v>
      </c>
      <c r="O12" s="179"/>
      <c r="P12" s="179"/>
      <c r="Q12" s="227"/>
      <c r="R12" s="179"/>
      <c r="S12" s="227"/>
      <c r="T12" s="184"/>
      <c r="U12" s="179"/>
      <c r="V12" s="227"/>
      <c r="W12" s="264">
        <v>9.5818181818181802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264">
        <v>16.390909090909091</v>
      </c>
      <c r="AJ12" s="179"/>
      <c r="AK12" s="179"/>
      <c r="AL12" s="179"/>
      <c r="AM12" s="179"/>
      <c r="AN12" s="183"/>
      <c r="AO12" s="228"/>
      <c r="AP12" s="227"/>
      <c r="AQ12" s="227"/>
      <c r="AR12" s="179" t="s">
        <v>269</v>
      </c>
      <c r="AS12" s="179" t="s">
        <v>222</v>
      </c>
      <c r="AT12" s="182"/>
      <c r="AU12" s="182"/>
      <c r="AV12" s="182" t="s">
        <v>227</v>
      </c>
      <c r="AW12" s="4">
        <v>6.5010000000000003</v>
      </c>
      <c r="AX12" s="182"/>
      <c r="AY12" s="182"/>
      <c r="AZ12" s="182"/>
      <c r="BA12" s="182" t="s">
        <v>222</v>
      </c>
      <c r="BB12" s="182"/>
      <c r="BC12" s="179">
        <v>0</v>
      </c>
      <c r="BD12" s="182">
        <v>0</v>
      </c>
      <c r="BE12" s="182">
        <v>0</v>
      </c>
      <c r="BF12" s="182">
        <v>5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>
        <v>0</v>
      </c>
      <c r="BM12" s="182"/>
      <c r="BN12" s="182"/>
      <c r="BO12" s="182">
        <v>12</v>
      </c>
      <c r="BP12" s="182" t="s">
        <v>222</v>
      </c>
      <c r="BQ12" s="182"/>
      <c r="BR12" s="182"/>
      <c r="BS12" s="182"/>
      <c r="BT12" s="182"/>
      <c r="BU12" s="182"/>
      <c r="BV12" s="182"/>
      <c r="BW12" s="182" t="s">
        <v>222</v>
      </c>
      <c r="BX12" s="182">
        <v>1</v>
      </c>
      <c r="BY12" s="182"/>
      <c r="BZ12" s="185" t="s">
        <v>271</v>
      </c>
    </row>
    <row r="13" spans="1:78" x14ac:dyDescent="0.15">
      <c r="A13" s="45">
        <v>1930</v>
      </c>
      <c r="B13" s="180">
        <v>43036</v>
      </c>
      <c r="C13" s="1" t="s">
        <v>219</v>
      </c>
      <c r="D13" s="161" t="s">
        <v>203</v>
      </c>
      <c r="E13" s="2"/>
      <c r="F13" s="179" t="s">
        <v>268</v>
      </c>
      <c r="G13" s="3">
        <v>43025</v>
      </c>
      <c r="H13" s="4" t="s">
        <v>221</v>
      </c>
      <c r="I13" s="4" t="s">
        <v>222</v>
      </c>
      <c r="J13" s="4"/>
      <c r="K13" s="161" t="s">
        <v>274</v>
      </c>
      <c r="L13" s="161" t="s">
        <v>275</v>
      </c>
      <c r="M13" s="264">
        <v>89.854545454545445</v>
      </c>
      <c r="N13" s="264">
        <v>22.68181818181818</v>
      </c>
      <c r="O13" s="179"/>
      <c r="P13" s="179"/>
      <c r="Q13" s="227"/>
      <c r="R13" s="2"/>
      <c r="S13" s="178"/>
      <c r="T13" s="162"/>
      <c r="U13" s="2"/>
      <c r="V13" s="178"/>
      <c r="W13" s="264">
        <v>9.5909090909090899</v>
      </c>
      <c r="X13" s="2"/>
      <c r="Y13" s="2"/>
      <c r="Z13" s="2"/>
      <c r="AA13" s="2"/>
      <c r="AB13" s="2"/>
      <c r="AC13" s="2"/>
      <c r="AD13" s="2"/>
      <c r="AE13" s="178"/>
      <c r="AF13" s="178"/>
      <c r="AG13" s="2"/>
      <c r="AH13" s="2"/>
      <c r="AI13" s="264">
        <v>16.390909090909091</v>
      </c>
      <c r="AJ13" s="2"/>
      <c r="AK13" s="2"/>
      <c r="AL13" s="2"/>
      <c r="AM13" s="2"/>
      <c r="AN13" s="178"/>
      <c r="AO13" s="2"/>
      <c r="AP13" s="178"/>
      <c r="AQ13" s="178"/>
      <c r="AR13" s="179" t="s">
        <v>269</v>
      </c>
      <c r="AS13" s="2" t="s">
        <v>222</v>
      </c>
      <c r="AT13" s="4"/>
      <c r="AV13" s="4"/>
      <c r="AW13" s="4"/>
      <c r="AX13" s="4"/>
      <c r="AY13" s="4"/>
      <c r="AZ13" s="4"/>
      <c r="BA13" s="4" t="s">
        <v>228</v>
      </c>
      <c r="BB13" s="4"/>
      <c r="BC13" s="2">
        <v>0</v>
      </c>
      <c r="BD13" s="4">
        <v>0</v>
      </c>
      <c r="BE13" s="4">
        <v>5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/>
      <c r="BN13" s="4" t="s">
        <v>222</v>
      </c>
      <c r="BO13" s="4"/>
      <c r="BP13" s="259" t="s">
        <v>222</v>
      </c>
      <c r="BQ13" s="4"/>
      <c r="BR13" s="4"/>
      <c r="BS13" s="4"/>
      <c r="BT13" s="4"/>
      <c r="BU13" s="2"/>
      <c r="BV13" s="46"/>
      <c r="BW13" s="4" t="s">
        <v>222</v>
      </c>
      <c r="BX13" s="4"/>
      <c r="BY13" s="4"/>
      <c r="BZ13" s="2" t="s">
        <v>289</v>
      </c>
    </row>
    <row r="14" spans="1:78" x14ac:dyDescent="0.15">
      <c r="A14" s="45">
        <v>1930</v>
      </c>
      <c r="B14" s="180">
        <v>43036</v>
      </c>
      <c r="C14" s="1" t="s">
        <v>219</v>
      </c>
      <c r="D14" s="161" t="s">
        <v>203</v>
      </c>
      <c r="E14" s="2"/>
      <c r="F14" s="179" t="s">
        <v>268</v>
      </c>
      <c r="G14" s="3">
        <v>43006</v>
      </c>
      <c r="H14" s="4" t="s">
        <v>221</v>
      </c>
      <c r="I14" s="4" t="s">
        <v>222</v>
      </c>
      <c r="J14" s="4"/>
      <c r="K14" s="161" t="s">
        <v>280</v>
      </c>
      <c r="L14" s="161" t="s">
        <v>281</v>
      </c>
      <c r="M14" s="264">
        <v>84.545454545454533</v>
      </c>
      <c r="N14" s="264">
        <v>20.909090909090907</v>
      </c>
      <c r="O14" s="179"/>
      <c r="P14" s="179"/>
      <c r="Q14" s="227"/>
      <c r="R14" s="2"/>
      <c r="S14" s="178"/>
      <c r="T14" s="162"/>
      <c r="U14" s="2"/>
      <c r="V14" s="178"/>
      <c r="W14" s="264">
        <v>9.0909090909090899</v>
      </c>
      <c r="X14" s="2"/>
      <c r="Y14" s="2"/>
      <c r="Z14" s="2"/>
      <c r="AA14" s="2"/>
      <c r="AB14" s="2"/>
      <c r="AC14" s="2"/>
      <c r="AD14" s="2"/>
      <c r="AE14" s="178"/>
      <c r="AF14" s="178"/>
      <c r="AG14" s="2"/>
      <c r="AH14" s="2"/>
      <c r="AI14" s="264">
        <v>15.454545454545453</v>
      </c>
      <c r="AJ14" s="2"/>
      <c r="AK14" s="2"/>
      <c r="AL14" s="2"/>
      <c r="AM14" s="2"/>
      <c r="AN14" s="178"/>
      <c r="AO14" s="2"/>
      <c r="AP14" s="178"/>
      <c r="AQ14" s="178"/>
      <c r="AR14" s="179" t="s">
        <v>269</v>
      </c>
      <c r="AS14" s="2" t="s">
        <v>222</v>
      </c>
      <c r="AT14" s="4"/>
      <c r="AV14" s="259" t="s">
        <v>227</v>
      </c>
      <c r="AW14" s="4">
        <v>6.6</v>
      </c>
      <c r="AX14" s="4"/>
      <c r="AY14" s="4"/>
      <c r="AZ14" s="4"/>
      <c r="BA14" s="4" t="s">
        <v>228</v>
      </c>
      <c r="BB14" s="4"/>
      <c r="BC14" s="2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/>
      <c r="BN14" s="4" t="s">
        <v>222</v>
      </c>
      <c r="BO14" s="4"/>
      <c r="BP14" s="259" t="s">
        <v>222</v>
      </c>
      <c r="BQ14" s="265">
        <v>163.58181818181816</v>
      </c>
      <c r="BR14" s="4"/>
      <c r="BS14" s="4"/>
      <c r="BT14" s="4"/>
      <c r="BU14" s="2"/>
      <c r="BV14" s="46"/>
      <c r="BW14" s="4" t="s">
        <v>222</v>
      </c>
      <c r="BX14" s="4"/>
      <c r="BY14" s="4"/>
      <c r="BZ14" s="2" t="s">
        <v>282</v>
      </c>
    </row>
    <row r="15" spans="1:78" x14ac:dyDescent="0.15">
      <c r="A15" s="45">
        <v>1930</v>
      </c>
      <c r="B15" s="180">
        <v>43036</v>
      </c>
      <c r="C15" s="1" t="s">
        <v>219</v>
      </c>
      <c r="D15" s="161" t="s">
        <v>203</v>
      </c>
      <c r="E15" s="2"/>
      <c r="F15" s="179" t="s">
        <v>268</v>
      </c>
      <c r="G15" s="3">
        <v>43014</v>
      </c>
      <c r="H15" s="4" t="s">
        <v>221</v>
      </c>
      <c r="I15" s="4" t="s">
        <v>222</v>
      </c>
      <c r="J15" s="4"/>
      <c r="K15" s="161" t="s">
        <v>277</v>
      </c>
      <c r="L15" s="161" t="s">
        <v>278</v>
      </c>
      <c r="M15" s="264">
        <v>89.863636363636346</v>
      </c>
      <c r="N15" s="264">
        <v>21.536363636363635</v>
      </c>
      <c r="O15" s="2"/>
      <c r="P15" s="2"/>
      <c r="Q15" s="258"/>
      <c r="R15" s="2"/>
      <c r="S15" s="178"/>
      <c r="T15" s="162"/>
      <c r="U15" s="2"/>
      <c r="V15" s="178"/>
      <c r="W15" s="264">
        <v>10.009090909090908</v>
      </c>
      <c r="X15" s="2"/>
      <c r="Y15" s="2"/>
      <c r="Z15" s="2"/>
      <c r="AA15" s="2"/>
      <c r="AB15" s="2"/>
      <c r="AC15" s="2"/>
      <c r="AD15" s="2"/>
      <c r="AE15" s="178"/>
      <c r="AF15" s="178"/>
      <c r="AG15" s="2"/>
      <c r="AH15" s="2"/>
      <c r="AI15" s="264">
        <v>19.09090909090909</v>
      </c>
      <c r="AJ15" s="2"/>
      <c r="AK15" s="2"/>
      <c r="AL15" s="2"/>
      <c r="AM15" s="2"/>
      <c r="AN15" s="178"/>
      <c r="AO15" s="2"/>
      <c r="AP15" s="178"/>
      <c r="AQ15" s="178"/>
      <c r="AR15" s="179" t="s">
        <v>269</v>
      </c>
      <c r="AS15" s="2" t="s">
        <v>222</v>
      </c>
      <c r="AT15" s="4"/>
      <c r="AV15" s="259" t="s">
        <v>227</v>
      </c>
      <c r="AW15" s="4">
        <v>7</v>
      </c>
      <c r="AX15" s="4"/>
      <c r="AY15" s="4"/>
      <c r="AZ15" s="4"/>
      <c r="BA15" s="4" t="s">
        <v>228</v>
      </c>
      <c r="BB15" s="4"/>
      <c r="BC15" s="2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/>
      <c r="BN15" s="4" t="s">
        <v>222</v>
      </c>
      <c r="BO15" s="4"/>
      <c r="BP15" s="259" t="s">
        <v>222</v>
      </c>
      <c r="BQ15" s="4"/>
      <c r="BR15" s="4"/>
      <c r="BS15" s="4"/>
      <c r="BT15" s="4"/>
      <c r="BU15" s="2"/>
      <c r="BV15" s="46"/>
      <c r="BW15" s="4" t="s">
        <v>222</v>
      </c>
      <c r="BX15" s="4">
        <v>1</v>
      </c>
      <c r="BY15" s="4"/>
      <c r="BZ15" s="2" t="s">
        <v>279</v>
      </c>
    </row>
  </sheetData>
  <sheetProtection algorithmName="SHA-512" hashValue="fMXAW6Gop8A3dpRcTv+3OS3qoHMutISYYk4Fl/rz3j1K8tHO5bCFJrLRCdc+L1nPsnwBqiEYOBE7JJy/9b9BUQ==" saltValue="UBlNHw8kyqEQ3eP5blqvNg==" spinCount="100000" sheet="1" objects="1" scenarios="1"/>
  <phoneticPr fontId="2" type="noConversion"/>
  <pageMargins left="0.75" right="0.75" top="1" bottom="1" header="0.5" footer="0.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3B20-90BF-5D44-85D4-1A5BF1AFE8B6}">
  <sheetPr codeName="Sheet21"/>
  <dimension ref="A1:BZ9"/>
  <sheetViews>
    <sheetView zoomScale="90" zoomScaleNormal="90" zoomScalePageLayoutView="125" workbookViewId="0">
      <selection activeCell="B2" sqref="B2:B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42839</v>
      </c>
      <c r="C2" s="1" t="s">
        <v>219</v>
      </c>
      <c r="D2" s="161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93.209090909090904</v>
      </c>
      <c r="N2" s="178">
        <v>30.963636363636365</v>
      </c>
      <c r="O2" s="2" t="s">
        <v>225</v>
      </c>
      <c r="P2" s="2">
        <v>500</v>
      </c>
      <c r="Q2" s="178">
        <v>22.909090909090907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2" t="s">
        <v>226</v>
      </c>
      <c r="AR2" s="2" t="s">
        <v>222</v>
      </c>
      <c r="AS2" s="4"/>
      <c r="AU2" s="4" t="s">
        <v>227</v>
      </c>
      <c r="AV2" s="4">
        <v>8.4710000000000001</v>
      </c>
      <c r="AW2" s="4"/>
      <c r="AX2" s="4"/>
      <c r="AY2" s="4"/>
      <c r="AZ2" s="4" t="s">
        <v>228</v>
      </c>
      <c r="BA2" s="4"/>
      <c r="BB2" s="2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4" t="s">
        <v>229</v>
      </c>
      <c r="BT2" s="2" t="s">
        <v>173</v>
      </c>
      <c r="BU2" s="46">
        <v>20</v>
      </c>
      <c r="BV2" s="4" t="s">
        <v>222</v>
      </c>
      <c r="BW2" s="4"/>
      <c r="BX2" s="4"/>
      <c r="BY2" s="2" t="s">
        <v>256</v>
      </c>
      <c r="BZ2" t="s">
        <v>257</v>
      </c>
    </row>
    <row r="3" spans="1:78" ht="13" customHeight="1" x14ac:dyDescent="0.15">
      <c r="A3" s="45">
        <v>4941</v>
      </c>
      <c r="B3" s="180">
        <v>42839</v>
      </c>
      <c r="C3" s="181" t="s">
        <v>219</v>
      </c>
      <c r="D3" s="179" t="s">
        <v>203</v>
      </c>
      <c r="E3" s="179"/>
      <c r="F3" s="179" t="s">
        <v>220</v>
      </c>
      <c r="G3" s="180">
        <v>42544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93.199999999999989</v>
      </c>
      <c r="N3" s="229">
        <v>30.963636363636365</v>
      </c>
      <c r="O3" s="179" t="s">
        <v>225</v>
      </c>
      <c r="P3" s="179">
        <v>500</v>
      </c>
      <c r="Q3" s="229">
        <v>22.9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8" t="s">
        <v>226</v>
      </c>
      <c r="AR3" s="179" t="s">
        <v>222</v>
      </c>
      <c r="AS3" s="182"/>
      <c r="AT3" s="182"/>
      <c r="AU3" s="182" t="s">
        <v>227</v>
      </c>
      <c r="AV3" s="182">
        <v>8.4710000000000001</v>
      </c>
      <c r="AW3" s="182"/>
      <c r="AX3" s="182"/>
      <c r="AY3" s="182"/>
      <c r="AZ3" s="182" t="s">
        <v>222</v>
      </c>
      <c r="BA3" s="182"/>
      <c r="BB3" s="179">
        <v>0</v>
      </c>
      <c r="BC3" s="182">
        <v>0</v>
      </c>
      <c r="BD3" s="182">
        <v>0</v>
      </c>
      <c r="BE3" s="182">
        <v>5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222</v>
      </c>
      <c r="BP3" s="182"/>
      <c r="BQ3" s="182"/>
      <c r="BR3" s="182"/>
      <c r="BS3" s="182"/>
      <c r="BT3" s="182"/>
      <c r="BU3" s="182"/>
      <c r="BV3" s="182" t="s">
        <v>222</v>
      </c>
      <c r="BW3" s="182">
        <v>1</v>
      </c>
      <c r="BX3" s="182"/>
      <c r="BY3" s="185" t="s">
        <v>258</v>
      </c>
      <c r="BZ3" t="s">
        <v>259</v>
      </c>
    </row>
    <row r="4" spans="1:78" ht="13" customHeight="1" x14ac:dyDescent="0.15">
      <c r="A4" s="45">
        <v>90</v>
      </c>
      <c r="B4" s="180">
        <v>42839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261</v>
      </c>
      <c r="M4" s="229">
        <v>94.5</v>
      </c>
      <c r="N4" s="229">
        <v>31.399999999999995</v>
      </c>
      <c r="O4" s="179" t="s">
        <v>225</v>
      </c>
      <c r="P4" s="179">
        <v>500</v>
      </c>
      <c r="Q4" s="229">
        <v>23.2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8" t="s">
        <v>226</v>
      </c>
      <c r="AR4" s="179" t="s">
        <v>222</v>
      </c>
      <c r="AS4" s="182"/>
      <c r="AT4" s="247"/>
      <c r="AU4" s="182"/>
      <c r="AV4" s="182"/>
      <c r="AW4" s="182"/>
      <c r="AX4" s="182"/>
      <c r="AY4" s="182"/>
      <c r="AZ4" s="182" t="s">
        <v>222</v>
      </c>
      <c r="BA4" s="182"/>
      <c r="BB4" s="179">
        <v>0</v>
      </c>
      <c r="BC4" s="182">
        <v>0</v>
      </c>
      <c r="BD4" s="182">
        <v>3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 t="s">
        <v>222</v>
      </c>
      <c r="BN4" s="182"/>
      <c r="BO4" s="182" t="s">
        <v>222</v>
      </c>
      <c r="BP4" s="182"/>
      <c r="BQ4" s="182"/>
      <c r="BR4" s="182"/>
      <c r="BS4" s="182"/>
      <c r="BT4" s="182"/>
      <c r="BU4" s="182"/>
      <c r="BV4" s="182" t="s">
        <v>222</v>
      </c>
      <c r="BW4" s="182">
        <v>1</v>
      </c>
      <c r="BX4" s="182"/>
      <c r="BY4" s="257" t="s">
        <v>262</v>
      </c>
      <c r="BZ4" t="s">
        <v>259</v>
      </c>
    </row>
    <row r="5" spans="1:78" x14ac:dyDescent="0.15">
      <c r="A5" s="45">
        <v>1928</v>
      </c>
      <c r="B5" s="180">
        <v>42839</v>
      </c>
      <c r="C5" s="1" t="s">
        <v>219</v>
      </c>
      <c r="D5" s="161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2" t="s">
        <v>223</v>
      </c>
      <c r="L5" s="2" t="s">
        <v>224</v>
      </c>
      <c r="M5" s="178">
        <v>113.43636363636362</v>
      </c>
      <c r="N5" s="178">
        <v>30.963636363636365</v>
      </c>
      <c r="O5" s="2" t="s">
        <v>225</v>
      </c>
      <c r="P5" s="2">
        <v>500</v>
      </c>
      <c r="Q5" s="178">
        <v>22.909090909090907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>
        <v>12.818181818181817</v>
      </c>
      <c r="AG5" s="2"/>
      <c r="AH5" s="2"/>
      <c r="AI5" s="178"/>
      <c r="AJ5" s="2"/>
      <c r="AK5" s="2"/>
      <c r="AL5" s="2"/>
      <c r="AM5" s="2"/>
      <c r="AN5" s="178"/>
      <c r="AO5" s="2"/>
      <c r="AP5" s="178"/>
      <c r="AQ5" s="2" t="s">
        <v>264</v>
      </c>
      <c r="AR5" s="2" t="s">
        <v>222</v>
      </c>
      <c r="AS5" s="4"/>
      <c r="AU5" s="4" t="s">
        <v>227</v>
      </c>
      <c r="AV5" s="4">
        <v>8.4710000000000001</v>
      </c>
      <c r="AW5" s="4"/>
      <c r="AX5" s="4"/>
      <c r="AY5" s="4"/>
      <c r="AZ5" s="4" t="s">
        <v>228</v>
      </c>
      <c r="BA5" s="4"/>
      <c r="BB5" s="2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222</v>
      </c>
      <c r="BN5" s="4"/>
      <c r="BO5" s="4" t="s">
        <v>221</v>
      </c>
      <c r="BP5" s="4"/>
      <c r="BQ5" s="4"/>
      <c r="BR5" s="4"/>
      <c r="BS5" s="4" t="s">
        <v>229</v>
      </c>
      <c r="BT5" s="179" t="s">
        <v>173</v>
      </c>
      <c r="BU5" s="46">
        <v>20</v>
      </c>
      <c r="BV5" s="182" t="s">
        <v>222</v>
      </c>
      <c r="BW5" s="4"/>
      <c r="BX5" s="4"/>
      <c r="BY5" s="2" t="s">
        <v>265</v>
      </c>
      <c r="BZ5" t="s">
        <v>257</v>
      </c>
    </row>
    <row r="6" spans="1:78" ht="13" customHeight="1" x14ac:dyDescent="0.15">
      <c r="A6" s="45">
        <v>4939</v>
      </c>
      <c r="B6" s="180">
        <v>42839</v>
      </c>
      <c r="C6" s="181" t="s">
        <v>219</v>
      </c>
      <c r="D6" s="179" t="s">
        <v>203</v>
      </c>
      <c r="E6" s="179"/>
      <c r="F6" s="179" t="s">
        <v>263</v>
      </c>
      <c r="G6" s="180">
        <v>42544</v>
      </c>
      <c r="H6" s="182" t="s">
        <v>221</v>
      </c>
      <c r="I6" s="182" t="s">
        <v>222</v>
      </c>
      <c r="J6" s="182"/>
      <c r="K6" s="179" t="s">
        <v>207</v>
      </c>
      <c r="L6" s="179" t="s">
        <v>208</v>
      </c>
      <c r="M6" s="229">
        <v>109.90909090909091</v>
      </c>
      <c r="N6" s="229">
        <v>30.963636363636365</v>
      </c>
      <c r="O6" s="179" t="s">
        <v>225</v>
      </c>
      <c r="P6" s="179">
        <v>500</v>
      </c>
      <c r="Q6" s="229">
        <v>22.9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229">
        <v>14.663636363636362</v>
      </c>
      <c r="AG6" s="179"/>
      <c r="AH6" s="179"/>
      <c r="AI6" s="227"/>
      <c r="AJ6" s="179"/>
      <c r="AK6" s="179"/>
      <c r="AL6" s="179"/>
      <c r="AM6" s="179"/>
      <c r="AN6" s="183"/>
      <c r="AO6" s="228"/>
      <c r="AP6" s="227"/>
      <c r="AQ6" s="228" t="s">
        <v>264</v>
      </c>
      <c r="AR6" s="179" t="s">
        <v>222</v>
      </c>
      <c r="AS6" s="182"/>
      <c r="AT6" s="182"/>
      <c r="AU6" s="182" t="s">
        <v>227</v>
      </c>
      <c r="AV6" s="182">
        <v>8.4710000000000001</v>
      </c>
      <c r="AW6" s="182"/>
      <c r="AX6" s="182"/>
      <c r="AY6" s="182"/>
      <c r="AZ6" s="182" t="s">
        <v>222</v>
      </c>
      <c r="BA6" s="182"/>
      <c r="BB6" s="179">
        <v>0</v>
      </c>
      <c r="BC6" s="182">
        <v>0</v>
      </c>
      <c r="BD6" s="182">
        <v>0</v>
      </c>
      <c r="BE6" s="182">
        <v>5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>
        <v>12</v>
      </c>
      <c r="BO6" s="182" t="s">
        <v>222</v>
      </c>
      <c r="BP6" s="182"/>
      <c r="BQ6" s="182"/>
      <c r="BR6" s="182"/>
      <c r="BS6" s="182"/>
      <c r="BT6" s="182"/>
      <c r="BU6" s="182"/>
      <c r="BV6" s="182" t="s">
        <v>222</v>
      </c>
      <c r="BW6" s="182">
        <v>1</v>
      </c>
      <c r="BX6" s="182"/>
      <c r="BY6" s="185" t="s">
        <v>266</v>
      </c>
      <c r="BZ6" t="s">
        <v>257</v>
      </c>
    </row>
    <row r="7" spans="1:78" ht="13" customHeight="1" x14ac:dyDescent="0.15">
      <c r="A7" s="45">
        <v>88</v>
      </c>
      <c r="B7" s="180">
        <v>42839</v>
      </c>
      <c r="C7" s="181" t="s">
        <v>219</v>
      </c>
      <c r="D7" s="179" t="s">
        <v>203</v>
      </c>
      <c r="E7" s="179"/>
      <c r="F7" s="179" t="s">
        <v>263</v>
      </c>
      <c r="G7" s="180">
        <v>42452</v>
      </c>
      <c r="H7" s="182" t="s">
        <v>221</v>
      </c>
      <c r="I7" s="182" t="s">
        <v>222</v>
      </c>
      <c r="J7" s="182"/>
      <c r="K7" s="179" t="s">
        <v>260</v>
      </c>
      <c r="L7" s="179" t="s">
        <v>261</v>
      </c>
      <c r="M7" s="229">
        <v>102.3</v>
      </c>
      <c r="N7" s="229">
        <v>31.399999999999995</v>
      </c>
      <c r="O7" s="179" t="s">
        <v>225</v>
      </c>
      <c r="P7" s="179">
        <v>500</v>
      </c>
      <c r="Q7" s="229">
        <v>23.2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229">
        <v>14.899999999999999</v>
      </c>
      <c r="AG7" s="179"/>
      <c r="AH7" s="179"/>
      <c r="AI7" s="227"/>
      <c r="AJ7" s="179"/>
      <c r="AK7" s="179"/>
      <c r="AL7" s="179"/>
      <c r="AM7" s="179"/>
      <c r="AN7" s="183"/>
      <c r="AO7" s="228"/>
      <c r="AP7" s="227"/>
      <c r="AQ7" s="228" t="s">
        <v>264</v>
      </c>
      <c r="AR7" s="179" t="s">
        <v>222</v>
      </c>
      <c r="AS7" s="182"/>
      <c r="AT7" s="182"/>
      <c r="AU7" s="182"/>
      <c r="AV7" s="182"/>
      <c r="AW7" s="182"/>
      <c r="AX7" s="182"/>
      <c r="AY7" s="182"/>
      <c r="AZ7" s="182" t="s">
        <v>222</v>
      </c>
      <c r="BA7" s="182"/>
      <c r="BB7" s="179">
        <v>0</v>
      </c>
      <c r="BC7" s="182">
        <v>0</v>
      </c>
      <c r="BD7" s="182">
        <v>3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 t="s">
        <v>222</v>
      </c>
      <c r="BN7" s="182"/>
      <c r="BO7" s="182" t="s">
        <v>222</v>
      </c>
      <c r="BP7" s="182"/>
      <c r="BQ7" s="182"/>
      <c r="BR7" s="182"/>
      <c r="BS7" s="182"/>
      <c r="BT7" s="182"/>
      <c r="BU7" s="182"/>
      <c r="BV7" s="182" t="s">
        <v>222</v>
      </c>
      <c r="BW7" s="182">
        <v>1</v>
      </c>
      <c r="BX7" s="182"/>
      <c r="BY7" s="185" t="s">
        <v>267</v>
      </c>
      <c r="BZ7" t="s">
        <v>259</v>
      </c>
    </row>
    <row r="8" spans="1:78" ht="13" customHeight="1" x14ac:dyDescent="0.15">
      <c r="A8" s="45">
        <v>1931</v>
      </c>
      <c r="B8" s="180">
        <v>42839</v>
      </c>
      <c r="C8" s="181" t="s">
        <v>219</v>
      </c>
      <c r="D8" s="179" t="s">
        <v>203</v>
      </c>
      <c r="E8" s="179"/>
      <c r="F8" s="179" t="s">
        <v>268</v>
      </c>
      <c r="G8" s="180">
        <v>42551</v>
      </c>
      <c r="H8" s="182" t="s">
        <v>221</v>
      </c>
      <c r="I8" s="182" t="s">
        <v>222</v>
      </c>
      <c r="J8" s="182"/>
      <c r="K8" s="179" t="s">
        <v>223</v>
      </c>
      <c r="L8" s="179" t="s">
        <v>224</v>
      </c>
      <c r="M8" s="183">
        <v>100.96363636363635</v>
      </c>
      <c r="N8" s="183">
        <v>25.481818181818181</v>
      </c>
      <c r="O8" s="179"/>
      <c r="P8" s="179"/>
      <c r="Q8" s="183"/>
      <c r="R8" s="179"/>
      <c r="S8" s="183"/>
      <c r="T8" s="184"/>
      <c r="U8" s="179"/>
      <c r="V8" s="183"/>
      <c r="W8" s="183">
        <v>10.772727272727272</v>
      </c>
      <c r="X8" s="179"/>
      <c r="Y8" s="179"/>
      <c r="Z8" s="179"/>
      <c r="AA8" s="179"/>
      <c r="AB8" s="179"/>
      <c r="AC8" s="179"/>
      <c r="AD8" s="179"/>
      <c r="AE8" s="183"/>
      <c r="AF8" s="183"/>
      <c r="AG8" s="179"/>
      <c r="AH8" s="179"/>
      <c r="AI8" s="183">
        <v>18.418181818181818</v>
      </c>
      <c r="AJ8" s="179"/>
      <c r="AK8" s="179"/>
      <c r="AL8" s="179"/>
      <c r="AM8" s="179"/>
      <c r="AN8" s="183"/>
      <c r="AO8" s="179"/>
      <c r="AP8" s="183"/>
      <c r="AQ8" s="179" t="s">
        <v>269</v>
      </c>
      <c r="AR8" s="179" t="s">
        <v>222</v>
      </c>
      <c r="AS8" s="182"/>
      <c r="AT8" s="182"/>
      <c r="AU8" s="182" t="s">
        <v>227</v>
      </c>
      <c r="AV8" s="182">
        <v>8.4710000000000001</v>
      </c>
      <c r="AW8" s="182"/>
      <c r="AX8" s="182"/>
      <c r="AY8" s="182"/>
      <c r="AZ8" s="182" t="s">
        <v>228</v>
      </c>
      <c r="BA8" s="182"/>
      <c r="BB8" s="179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 t="s">
        <v>222</v>
      </c>
      <c r="BN8" s="182"/>
      <c r="BO8" s="182" t="s">
        <v>222</v>
      </c>
      <c r="BP8" s="4"/>
      <c r="BQ8" s="182"/>
      <c r="BR8" s="182"/>
      <c r="BS8" s="182" t="s">
        <v>229</v>
      </c>
      <c r="BT8" s="179" t="s">
        <v>173</v>
      </c>
      <c r="BU8" s="185">
        <v>20</v>
      </c>
      <c r="BV8" s="182" t="s">
        <v>222</v>
      </c>
      <c r="BW8" s="182"/>
      <c r="BX8" s="182"/>
      <c r="BY8" s="179" t="s">
        <v>270</v>
      </c>
      <c r="BZ8" t="s">
        <v>257</v>
      </c>
    </row>
    <row r="9" spans="1:78" ht="13" customHeight="1" x14ac:dyDescent="0.15">
      <c r="A9" s="45">
        <v>4942</v>
      </c>
      <c r="B9" s="180">
        <v>42839</v>
      </c>
      <c r="C9" s="181" t="s">
        <v>219</v>
      </c>
      <c r="D9" s="179" t="s">
        <v>203</v>
      </c>
      <c r="E9" s="179"/>
      <c r="F9" s="179" t="s">
        <v>268</v>
      </c>
      <c r="G9" s="180">
        <v>42544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183">
        <v>100.96363636363635</v>
      </c>
      <c r="N9" s="229">
        <v>25.481818181818181</v>
      </c>
      <c r="O9" s="179"/>
      <c r="P9" s="179"/>
      <c r="Q9" s="227"/>
      <c r="R9" s="179"/>
      <c r="S9" s="227"/>
      <c r="T9" s="184"/>
      <c r="U9" s="179"/>
      <c r="V9" s="227"/>
      <c r="W9" s="229">
        <v>10.772727272727272</v>
      </c>
      <c r="X9" s="179"/>
      <c r="Y9" s="179"/>
      <c r="Z9" s="179"/>
      <c r="AA9" s="179"/>
      <c r="AB9" s="179"/>
      <c r="AC9" s="179"/>
      <c r="AD9" s="179"/>
      <c r="AE9" s="227"/>
      <c r="AF9" s="227"/>
      <c r="AG9" s="179"/>
      <c r="AH9" s="179"/>
      <c r="AI9" s="229"/>
      <c r="AJ9" s="179"/>
      <c r="AK9" s="179"/>
      <c r="AL9" s="179"/>
      <c r="AM9" s="179"/>
      <c r="AN9" s="183"/>
      <c r="AO9" s="228"/>
      <c r="AP9" s="227"/>
      <c r="AQ9" s="228" t="s">
        <v>269</v>
      </c>
      <c r="AR9" s="179" t="s">
        <v>222</v>
      </c>
      <c r="AS9" s="182"/>
      <c r="AT9" s="182"/>
      <c r="AU9" s="182" t="s">
        <v>227</v>
      </c>
      <c r="AV9" s="182">
        <v>8.4710000000000001</v>
      </c>
      <c r="AW9" s="182"/>
      <c r="AX9" s="182"/>
      <c r="AY9" s="182"/>
      <c r="AZ9" s="182" t="s">
        <v>222</v>
      </c>
      <c r="BA9" s="182"/>
      <c r="BB9" s="179">
        <v>0</v>
      </c>
      <c r="BC9" s="182">
        <v>0</v>
      </c>
      <c r="BD9" s="182">
        <v>0</v>
      </c>
      <c r="BE9" s="182">
        <v>5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>
        <v>12</v>
      </c>
      <c r="BO9" s="182" t="s">
        <v>222</v>
      </c>
      <c r="BP9" s="182"/>
      <c r="BQ9" s="182"/>
      <c r="BR9" s="182"/>
      <c r="BS9" s="182"/>
      <c r="BT9" s="182"/>
      <c r="BU9" s="182"/>
      <c r="BV9" s="182" t="s">
        <v>222</v>
      </c>
      <c r="BW9" s="182">
        <v>1</v>
      </c>
      <c r="BX9" s="182"/>
      <c r="BY9" s="185" t="s">
        <v>271</v>
      </c>
      <c r="BZ9" t="s">
        <v>259</v>
      </c>
    </row>
  </sheetData>
  <sheetProtection algorithmName="SHA-512" hashValue="ulK25Hi+fpLNQQx3A5afFnkhUAoSluE17yGlKoSXxMMoLSW1zj4ltBv44hV1SrJr/3ek5RTINgPoNps/ssJ66Q==" saltValue="QqxYg2B1FgmTBRITBLkaJA==" spinCount="100000" sheet="1" objects="1" scenarios="1"/>
  <hyperlinks>
    <hyperlink ref="BY4" r:id="rId1" xr:uid="{15CC79E2-8EB1-334F-9679-689B63BB489D}"/>
  </hyperlinks>
  <pageMargins left="0.75" right="0.75" top="1" bottom="1" header="0.5" footer="0.5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C2DC-12E4-B547-8C22-E815663C6788}">
  <sheetPr codeName="Sheet18"/>
  <dimension ref="A1:BZ9"/>
  <sheetViews>
    <sheetView zoomScale="90" zoomScaleNormal="9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42656</v>
      </c>
      <c r="C2" s="1" t="s">
        <v>219</v>
      </c>
      <c r="D2" s="161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93.209090909090904</v>
      </c>
      <c r="N2" s="178">
        <v>30.963636363636365</v>
      </c>
      <c r="O2" s="2" t="s">
        <v>225</v>
      </c>
      <c r="P2" s="2">
        <v>500</v>
      </c>
      <c r="Q2" s="178">
        <v>22.909090909090907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2" t="s">
        <v>226</v>
      </c>
      <c r="AR2" s="2" t="s">
        <v>222</v>
      </c>
      <c r="AS2" s="4"/>
      <c r="AU2" s="4" t="s">
        <v>227</v>
      </c>
      <c r="AV2" s="4">
        <v>8.4710000000000001</v>
      </c>
      <c r="AW2" s="4"/>
      <c r="AX2" s="4"/>
      <c r="AY2" s="4"/>
      <c r="AZ2" s="4" t="s">
        <v>228</v>
      </c>
      <c r="BA2" s="4"/>
      <c r="BB2" s="2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4" t="s">
        <v>229</v>
      </c>
      <c r="BT2" s="2" t="s">
        <v>173</v>
      </c>
      <c r="BU2" s="46">
        <v>20</v>
      </c>
      <c r="BV2" s="4" t="s">
        <v>222</v>
      </c>
      <c r="BW2" s="4"/>
      <c r="BX2" s="4"/>
      <c r="BY2" s="2" t="s">
        <v>256</v>
      </c>
      <c r="BZ2" t="s">
        <v>257</v>
      </c>
    </row>
    <row r="3" spans="1:78" ht="13" customHeight="1" x14ac:dyDescent="0.15">
      <c r="A3" s="45">
        <v>4941</v>
      </c>
      <c r="B3" s="180">
        <v>42656</v>
      </c>
      <c r="C3" s="181" t="s">
        <v>219</v>
      </c>
      <c r="D3" s="179" t="s">
        <v>203</v>
      </c>
      <c r="E3" s="179"/>
      <c r="F3" s="179" t="s">
        <v>220</v>
      </c>
      <c r="G3" s="180">
        <v>42544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93.199999999999989</v>
      </c>
      <c r="N3" s="229">
        <v>30.963636363636365</v>
      </c>
      <c r="O3" s="179" t="s">
        <v>225</v>
      </c>
      <c r="P3" s="179">
        <v>500</v>
      </c>
      <c r="Q3" s="229">
        <v>22.9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8" t="s">
        <v>226</v>
      </c>
      <c r="AR3" s="179" t="s">
        <v>222</v>
      </c>
      <c r="AS3" s="182"/>
      <c r="AT3" s="182"/>
      <c r="AU3" s="182" t="s">
        <v>227</v>
      </c>
      <c r="AV3" s="182">
        <v>8.4710000000000001</v>
      </c>
      <c r="AW3" s="182"/>
      <c r="AX3" s="182"/>
      <c r="AY3" s="182"/>
      <c r="AZ3" s="182" t="s">
        <v>222</v>
      </c>
      <c r="BA3" s="182"/>
      <c r="BB3" s="179">
        <v>0</v>
      </c>
      <c r="BC3" s="182">
        <v>0</v>
      </c>
      <c r="BD3" s="182">
        <v>0</v>
      </c>
      <c r="BE3" s="182">
        <v>5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222</v>
      </c>
      <c r="BP3" s="182"/>
      <c r="BQ3" s="182"/>
      <c r="BR3" s="182"/>
      <c r="BS3" s="182"/>
      <c r="BT3" s="182"/>
      <c r="BU3" s="182"/>
      <c r="BV3" s="182" t="s">
        <v>222</v>
      </c>
      <c r="BW3" s="182">
        <v>1</v>
      </c>
      <c r="BX3" s="182"/>
      <c r="BY3" s="185" t="s">
        <v>258</v>
      </c>
      <c r="BZ3" t="s">
        <v>259</v>
      </c>
    </row>
    <row r="4" spans="1:78" ht="13" customHeight="1" x14ac:dyDescent="0.15">
      <c r="A4" s="45">
        <v>90</v>
      </c>
      <c r="B4" s="180">
        <v>42657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261</v>
      </c>
      <c r="M4" s="229">
        <v>94.5</v>
      </c>
      <c r="N4" s="229">
        <v>31.399999999999995</v>
      </c>
      <c r="O4" s="179" t="s">
        <v>225</v>
      </c>
      <c r="P4" s="179">
        <v>500</v>
      </c>
      <c r="Q4" s="229">
        <v>23.2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8" t="s">
        <v>226</v>
      </c>
      <c r="AR4" s="179" t="s">
        <v>222</v>
      </c>
      <c r="AS4" s="182"/>
      <c r="AT4" s="247"/>
      <c r="AU4" s="182"/>
      <c r="AV4" s="182"/>
      <c r="AW4" s="182"/>
      <c r="AX4" s="182"/>
      <c r="AY4" s="182"/>
      <c r="AZ4" s="182" t="s">
        <v>222</v>
      </c>
      <c r="BA4" s="182"/>
      <c r="BB4" s="179">
        <v>0</v>
      </c>
      <c r="BC4" s="182">
        <v>0</v>
      </c>
      <c r="BD4" s="182">
        <v>3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 t="s">
        <v>222</v>
      </c>
      <c r="BN4" s="182"/>
      <c r="BO4" s="182" t="s">
        <v>222</v>
      </c>
      <c r="BP4" s="182"/>
      <c r="BQ4" s="182"/>
      <c r="BR4" s="182"/>
      <c r="BS4" s="182"/>
      <c r="BT4" s="182"/>
      <c r="BU4" s="182"/>
      <c r="BV4" s="182" t="s">
        <v>222</v>
      </c>
      <c r="BW4" s="182">
        <v>1</v>
      </c>
      <c r="BX4" s="182"/>
      <c r="BY4" s="185" t="s">
        <v>262</v>
      </c>
      <c r="BZ4" t="s">
        <v>259</v>
      </c>
    </row>
    <row r="5" spans="1:78" x14ac:dyDescent="0.15">
      <c r="A5" s="45">
        <v>1928</v>
      </c>
      <c r="B5" s="180">
        <v>42656</v>
      </c>
      <c r="C5" s="1" t="s">
        <v>219</v>
      </c>
      <c r="D5" s="161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2" t="s">
        <v>223</v>
      </c>
      <c r="L5" s="2" t="s">
        <v>224</v>
      </c>
      <c r="M5" s="178">
        <v>113.43636363636362</v>
      </c>
      <c r="N5" s="178">
        <v>30.963636363636365</v>
      </c>
      <c r="O5" s="2" t="s">
        <v>225</v>
      </c>
      <c r="P5" s="2">
        <v>500</v>
      </c>
      <c r="Q5" s="178">
        <v>22.909090909090907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>
        <v>12.818181818181817</v>
      </c>
      <c r="AG5" s="2"/>
      <c r="AH5" s="2"/>
      <c r="AI5" s="178"/>
      <c r="AJ5" s="2"/>
      <c r="AK5" s="2"/>
      <c r="AL5" s="2"/>
      <c r="AM5" s="2"/>
      <c r="AN5" s="178"/>
      <c r="AO5" s="2"/>
      <c r="AP5" s="178"/>
      <c r="AQ5" s="2" t="s">
        <v>264</v>
      </c>
      <c r="AR5" s="2" t="s">
        <v>222</v>
      </c>
      <c r="AS5" s="4"/>
      <c r="AU5" s="4" t="s">
        <v>227</v>
      </c>
      <c r="AV5" s="4">
        <v>8.4710000000000001</v>
      </c>
      <c r="AW5" s="4"/>
      <c r="AX5" s="4"/>
      <c r="AY5" s="4"/>
      <c r="AZ5" s="4" t="s">
        <v>228</v>
      </c>
      <c r="BA5" s="4"/>
      <c r="BB5" s="2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222</v>
      </c>
      <c r="BN5" s="4"/>
      <c r="BO5" s="4" t="s">
        <v>221</v>
      </c>
      <c r="BP5" s="4"/>
      <c r="BQ5" s="4"/>
      <c r="BR5" s="4"/>
      <c r="BS5" s="4" t="s">
        <v>229</v>
      </c>
      <c r="BT5" s="179" t="s">
        <v>173</v>
      </c>
      <c r="BU5" s="46">
        <v>20</v>
      </c>
      <c r="BV5" s="182" t="s">
        <v>222</v>
      </c>
      <c r="BW5" s="4"/>
      <c r="BX5" s="4"/>
      <c r="BY5" s="2" t="s">
        <v>265</v>
      </c>
      <c r="BZ5" t="s">
        <v>257</v>
      </c>
    </row>
    <row r="6" spans="1:78" ht="13" customHeight="1" x14ac:dyDescent="0.15">
      <c r="A6" s="45">
        <v>4939</v>
      </c>
      <c r="B6" s="180">
        <v>42656</v>
      </c>
      <c r="C6" s="181" t="s">
        <v>219</v>
      </c>
      <c r="D6" s="179" t="s">
        <v>203</v>
      </c>
      <c r="E6" s="179"/>
      <c r="F6" s="179" t="s">
        <v>263</v>
      </c>
      <c r="G6" s="180">
        <v>42544</v>
      </c>
      <c r="H6" s="182" t="s">
        <v>221</v>
      </c>
      <c r="I6" s="182" t="s">
        <v>222</v>
      </c>
      <c r="J6" s="182"/>
      <c r="K6" s="179" t="s">
        <v>207</v>
      </c>
      <c r="L6" s="179" t="s">
        <v>208</v>
      </c>
      <c r="M6" s="229">
        <v>109.90909090909091</v>
      </c>
      <c r="N6" s="229">
        <v>30.963636363636365</v>
      </c>
      <c r="O6" s="179" t="s">
        <v>225</v>
      </c>
      <c r="P6" s="179">
        <v>500</v>
      </c>
      <c r="Q6" s="229">
        <v>22.9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229">
        <v>14.663636363636362</v>
      </c>
      <c r="AG6" s="179"/>
      <c r="AH6" s="179"/>
      <c r="AI6" s="227"/>
      <c r="AJ6" s="179"/>
      <c r="AK6" s="179"/>
      <c r="AL6" s="179"/>
      <c r="AM6" s="179"/>
      <c r="AN6" s="183"/>
      <c r="AO6" s="228"/>
      <c r="AP6" s="227"/>
      <c r="AQ6" s="228" t="s">
        <v>264</v>
      </c>
      <c r="AR6" s="179" t="s">
        <v>222</v>
      </c>
      <c r="AS6" s="182"/>
      <c r="AT6" s="182"/>
      <c r="AU6" s="182" t="s">
        <v>227</v>
      </c>
      <c r="AV6" s="182">
        <v>8.4710000000000001</v>
      </c>
      <c r="AW6" s="182"/>
      <c r="AX6" s="182"/>
      <c r="AY6" s="182"/>
      <c r="AZ6" s="182" t="s">
        <v>222</v>
      </c>
      <c r="BA6" s="182"/>
      <c r="BB6" s="179">
        <v>0</v>
      </c>
      <c r="BC6" s="182">
        <v>0</v>
      </c>
      <c r="BD6" s="182">
        <v>0</v>
      </c>
      <c r="BE6" s="182">
        <v>5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>
        <v>12</v>
      </c>
      <c r="BO6" s="182" t="s">
        <v>222</v>
      </c>
      <c r="BP6" s="182"/>
      <c r="BQ6" s="182"/>
      <c r="BR6" s="182"/>
      <c r="BS6" s="182"/>
      <c r="BT6" s="182"/>
      <c r="BU6" s="182"/>
      <c r="BV6" s="182" t="s">
        <v>222</v>
      </c>
      <c r="BW6" s="182">
        <v>1</v>
      </c>
      <c r="BX6" s="182"/>
      <c r="BY6" s="185" t="s">
        <v>266</v>
      </c>
      <c r="BZ6" t="s">
        <v>257</v>
      </c>
    </row>
    <row r="7" spans="1:78" ht="13" customHeight="1" x14ac:dyDescent="0.15">
      <c r="A7" s="45">
        <v>88</v>
      </c>
      <c r="B7" s="180">
        <v>42657</v>
      </c>
      <c r="C7" s="181" t="s">
        <v>219</v>
      </c>
      <c r="D7" s="179" t="s">
        <v>203</v>
      </c>
      <c r="E7" s="179"/>
      <c r="F7" s="179" t="s">
        <v>263</v>
      </c>
      <c r="G7" s="180">
        <v>42452</v>
      </c>
      <c r="H7" s="182" t="s">
        <v>221</v>
      </c>
      <c r="I7" s="182" t="s">
        <v>222</v>
      </c>
      <c r="J7" s="182"/>
      <c r="K7" s="179" t="s">
        <v>260</v>
      </c>
      <c r="L7" s="179" t="s">
        <v>261</v>
      </c>
      <c r="M7" s="229">
        <v>102.3</v>
      </c>
      <c r="N7" s="229">
        <v>31.399999999999995</v>
      </c>
      <c r="O7" s="179" t="s">
        <v>225</v>
      </c>
      <c r="P7" s="179">
        <v>500</v>
      </c>
      <c r="Q7" s="229">
        <v>23.2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229">
        <v>14.899999999999999</v>
      </c>
      <c r="AG7" s="179"/>
      <c r="AH7" s="179"/>
      <c r="AI7" s="227"/>
      <c r="AJ7" s="179"/>
      <c r="AK7" s="179"/>
      <c r="AL7" s="179"/>
      <c r="AM7" s="179"/>
      <c r="AN7" s="183"/>
      <c r="AO7" s="228"/>
      <c r="AP7" s="227"/>
      <c r="AQ7" s="228" t="s">
        <v>264</v>
      </c>
      <c r="AR7" s="179" t="s">
        <v>222</v>
      </c>
      <c r="AS7" s="182"/>
      <c r="AT7" s="182"/>
      <c r="AU7" s="182"/>
      <c r="AV7" s="182"/>
      <c r="AW7" s="182"/>
      <c r="AX7" s="182"/>
      <c r="AY7" s="182"/>
      <c r="AZ7" s="182" t="s">
        <v>222</v>
      </c>
      <c r="BA7" s="182"/>
      <c r="BB7" s="179">
        <v>0</v>
      </c>
      <c r="BC7" s="182">
        <v>0</v>
      </c>
      <c r="BD7" s="182">
        <v>3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 t="s">
        <v>222</v>
      </c>
      <c r="BN7" s="182"/>
      <c r="BO7" s="182" t="s">
        <v>222</v>
      </c>
      <c r="BP7" s="182"/>
      <c r="BQ7" s="182"/>
      <c r="BR7" s="182"/>
      <c r="BS7" s="182"/>
      <c r="BT7" s="182"/>
      <c r="BU7" s="182"/>
      <c r="BV7" s="182" t="s">
        <v>222</v>
      </c>
      <c r="BW7" s="182">
        <v>1</v>
      </c>
      <c r="BX7" s="182"/>
      <c r="BY7" s="185" t="s">
        <v>267</v>
      </c>
      <c r="BZ7" t="s">
        <v>259</v>
      </c>
    </row>
    <row r="8" spans="1:78" ht="13" customHeight="1" x14ac:dyDescent="0.15">
      <c r="A8" s="45">
        <v>1931</v>
      </c>
      <c r="B8" s="180">
        <v>42656</v>
      </c>
      <c r="C8" s="181" t="s">
        <v>219</v>
      </c>
      <c r="D8" s="179" t="s">
        <v>203</v>
      </c>
      <c r="E8" s="179"/>
      <c r="F8" s="179" t="s">
        <v>268</v>
      </c>
      <c r="G8" s="180">
        <v>42551</v>
      </c>
      <c r="H8" s="182" t="s">
        <v>221</v>
      </c>
      <c r="I8" s="182" t="s">
        <v>222</v>
      </c>
      <c r="J8" s="182"/>
      <c r="K8" s="179" t="s">
        <v>223</v>
      </c>
      <c r="L8" s="179" t="s">
        <v>224</v>
      </c>
      <c r="M8" s="183">
        <v>100.96363636363635</v>
      </c>
      <c r="N8" s="183">
        <v>25.481818181818181</v>
      </c>
      <c r="O8" s="179"/>
      <c r="P8" s="179"/>
      <c r="Q8" s="183"/>
      <c r="R8" s="179"/>
      <c r="S8" s="183"/>
      <c r="T8" s="184"/>
      <c r="U8" s="179"/>
      <c r="V8" s="183"/>
      <c r="W8" s="183">
        <v>10.772727272727272</v>
      </c>
      <c r="X8" s="179"/>
      <c r="Y8" s="179"/>
      <c r="Z8" s="179"/>
      <c r="AA8" s="179"/>
      <c r="AB8" s="179"/>
      <c r="AC8" s="179"/>
      <c r="AD8" s="179"/>
      <c r="AE8" s="183"/>
      <c r="AF8" s="183"/>
      <c r="AG8" s="179"/>
      <c r="AH8" s="179"/>
      <c r="AI8" s="183">
        <v>18.418181818181818</v>
      </c>
      <c r="AJ8" s="179"/>
      <c r="AK8" s="179"/>
      <c r="AL8" s="179"/>
      <c r="AM8" s="179"/>
      <c r="AN8" s="183"/>
      <c r="AO8" s="179"/>
      <c r="AP8" s="183"/>
      <c r="AQ8" s="179" t="s">
        <v>269</v>
      </c>
      <c r="AR8" s="179" t="s">
        <v>222</v>
      </c>
      <c r="AS8" s="182"/>
      <c r="AT8" s="182"/>
      <c r="AU8" s="182" t="s">
        <v>227</v>
      </c>
      <c r="AV8" s="182">
        <v>8.4710000000000001</v>
      </c>
      <c r="AW8" s="182"/>
      <c r="AX8" s="182"/>
      <c r="AY8" s="182"/>
      <c r="AZ8" s="182" t="s">
        <v>228</v>
      </c>
      <c r="BA8" s="182"/>
      <c r="BB8" s="179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 t="s">
        <v>222</v>
      </c>
      <c r="BN8" s="182"/>
      <c r="BO8" s="182" t="s">
        <v>222</v>
      </c>
      <c r="BP8" s="4"/>
      <c r="BQ8" s="182"/>
      <c r="BR8" s="182"/>
      <c r="BS8" s="182" t="s">
        <v>229</v>
      </c>
      <c r="BT8" s="179" t="s">
        <v>173</v>
      </c>
      <c r="BU8" s="185">
        <v>20</v>
      </c>
      <c r="BV8" s="182" t="s">
        <v>222</v>
      </c>
      <c r="BW8" s="182"/>
      <c r="BX8" s="182"/>
      <c r="BY8" s="179" t="s">
        <v>270</v>
      </c>
      <c r="BZ8" t="s">
        <v>257</v>
      </c>
    </row>
    <row r="9" spans="1:78" ht="13" customHeight="1" x14ac:dyDescent="0.15">
      <c r="A9" s="45">
        <v>4942</v>
      </c>
      <c r="B9" s="180">
        <v>42656</v>
      </c>
      <c r="C9" s="181" t="s">
        <v>219</v>
      </c>
      <c r="D9" s="179" t="s">
        <v>203</v>
      </c>
      <c r="E9" s="179"/>
      <c r="F9" s="179" t="s">
        <v>268</v>
      </c>
      <c r="G9" s="180">
        <v>42544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183">
        <v>100.96363636363635</v>
      </c>
      <c r="N9" s="229">
        <v>25.481818181818181</v>
      </c>
      <c r="O9" s="179"/>
      <c r="P9" s="179"/>
      <c r="Q9" s="227"/>
      <c r="R9" s="179"/>
      <c r="S9" s="227"/>
      <c r="T9" s="184"/>
      <c r="U9" s="179"/>
      <c r="V9" s="227"/>
      <c r="W9" s="229">
        <v>10.772727272727272</v>
      </c>
      <c r="X9" s="179"/>
      <c r="Y9" s="179"/>
      <c r="Z9" s="179"/>
      <c r="AA9" s="179"/>
      <c r="AB9" s="179"/>
      <c r="AC9" s="179"/>
      <c r="AD9" s="179"/>
      <c r="AE9" s="227"/>
      <c r="AF9" s="227"/>
      <c r="AG9" s="179"/>
      <c r="AH9" s="179"/>
      <c r="AI9" s="229"/>
      <c r="AJ9" s="179"/>
      <c r="AK9" s="179"/>
      <c r="AL9" s="179"/>
      <c r="AM9" s="179"/>
      <c r="AN9" s="183"/>
      <c r="AO9" s="228"/>
      <c r="AP9" s="227"/>
      <c r="AQ9" s="228" t="s">
        <v>269</v>
      </c>
      <c r="AR9" s="179" t="s">
        <v>222</v>
      </c>
      <c r="AS9" s="182"/>
      <c r="AT9" s="182"/>
      <c r="AU9" s="182" t="s">
        <v>227</v>
      </c>
      <c r="AV9" s="182">
        <v>8.4710000000000001</v>
      </c>
      <c r="AW9" s="182"/>
      <c r="AX9" s="182"/>
      <c r="AY9" s="182"/>
      <c r="AZ9" s="182" t="s">
        <v>222</v>
      </c>
      <c r="BA9" s="182"/>
      <c r="BB9" s="179">
        <v>0</v>
      </c>
      <c r="BC9" s="182">
        <v>0</v>
      </c>
      <c r="BD9" s="182">
        <v>0</v>
      </c>
      <c r="BE9" s="182">
        <v>5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>
        <v>12</v>
      </c>
      <c r="BO9" s="182" t="s">
        <v>222</v>
      </c>
      <c r="BP9" s="182"/>
      <c r="BQ9" s="182"/>
      <c r="BR9" s="182"/>
      <c r="BS9" s="182"/>
      <c r="BT9" s="182"/>
      <c r="BU9" s="182"/>
      <c r="BV9" s="182" t="s">
        <v>222</v>
      </c>
      <c r="BW9" s="182">
        <v>1</v>
      </c>
      <c r="BX9" s="182"/>
      <c r="BY9" s="185" t="s">
        <v>271</v>
      </c>
      <c r="BZ9" t="s">
        <v>259</v>
      </c>
    </row>
  </sheetData>
  <sheetProtection algorithmName="SHA-512" hashValue="PBPt5ssVdvPipQFFX69HZQRYH33VsCnv73lJmOknjnBhUHs42PLkisI3tlJfvzEFQ4i1JplIfqLhYvu5D19Q+w==" saltValue="x8fxuelV4hEclLIcLR1TMA==" spinCount="100000" sheet="1" objects="1" scenarios="1"/>
  <pageMargins left="0.75" right="0.75" top="1" bottom="1" header="0.5" footer="0.5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E9DF-699E-0B42-AD9A-749CA3BEFBB5}">
  <sheetPr codeName="Sheet9"/>
  <dimension ref="A1:BY7"/>
  <sheetViews>
    <sheetView topLeftCell="BA1" zoomScaleNormal="10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7" x14ac:dyDescent="0.15">
      <c r="A2" s="45">
        <v>1930</v>
      </c>
      <c r="B2" s="180">
        <v>42468</v>
      </c>
      <c r="C2" s="1" t="s">
        <v>219</v>
      </c>
      <c r="D2" s="161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94.518181818181816</v>
      </c>
      <c r="N2" s="178">
        <v>31.399999999999995</v>
      </c>
      <c r="O2" s="2" t="s">
        <v>225</v>
      </c>
      <c r="P2" s="2">
        <v>500</v>
      </c>
      <c r="Q2" s="17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226</v>
      </c>
      <c r="AS2" s="4" t="s">
        <v>222</v>
      </c>
      <c r="AU2" s="4"/>
      <c r="AV2" s="4" t="s">
        <v>227</v>
      </c>
      <c r="AW2" s="4">
        <v>9.3469999999999995</v>
      </c>
      <c r="AX2" s="4"/>
      <c r="AY2" s="4"/>
      <c r="AZ2" s="4"/>
      <c r="BA2" s="4" t="s">
        <v>228</v>
      </c>
      <c r="BB2" s="2"/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/>
      <c r="BN2" s="4" t="s">
        <v>222</v>
      </c>
      <c r="BO2" s="4"/>
      <c r="BP2" s="4" t="s">
        <v>221</v>
      </c>
      <c r="BQ2" s="4"/>
      <c r="BR2" s="4"/>
      <c r="BS2" s="4"/>
      <c r="BT2" s="2" t="s">
        <v>229</v>
      </c>
      <c r="BU2" s="46" t="s">
        <v>173</v>
      </c>
      <c r="BV2" s="4">
        <v>20</v>
      </c>
      <c r="BW2" s="4" t="s">
        <v>222</v>
      </c>
      <c r="BX2" s="4"/>
      <c r="BY2" s="2"/>
    </row>
    <row r="3" spans="1:77" ht="13" customHeight="1" x14ac:dyDescent="0.15">
      <c r="A3" s="45">
        <v>4941</v>
      </c>
      <c r="B3" s="180">
        <v>42468</v>
      </c>
      <c r="C3" s="181" t="s">
        <v>230</v>
      </c>
      <c r="D3" s="179" t="s">
        <v>203</v>
      </c>
      <c r="E3" s="179"/>
      <c r="F3" s="179" t="s">
        <v>254</v>
      </c>
      <c r="G3" s="180">
        <v>42427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94.509090909090901</v>
      </c>
      <c r="N3" s="229">
        <v>31.399999999999995</v>
      </c>
      <c r="O3" s="179" t="s">
        <v>241</v>
      </c>
      <c r="P3" s="179">
        <v>500</v>
      </c>
      <c r="Q3" s="229">
        <v>23.218181818181815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79"/>
      <c r="AO3" s="227"/>
      <c r="AP3" s="228"/>
      <c r="AQ3" s="227"/>
      <c r="AR3" s="179" t="s">
        <v>255</v>
      </c>
      <c r="AS3" s="182" t="s">
        <v>233</v>
      </c>
      <c r="AT3" s="182"/>
      <c r="AU3" s="182"/>
      <c r="AV3" s="182" t="s">
        <v>238</v>
      </c>
      <c r="AW3" s="182">
        <v>9.3469999999999995</v>
      </c>
      <c r="AX3" s="182"/>
      <c r="AY3" s="182"/>
      <c r="AZ3" s="182"/>
      <c r="BA3" s="182" t="s">
        <v>233</v>
      </c>
      <c r="BB3" s="179"/>
      <c r="BC3" s="182">
        <v>0</v>
      </c>
      <c r="BD3" s="182">
        <v>0</v>
      </c>
      <c r="BE3" s="182">
        <v>0</v>
      </c>
      <c r="BF3" s="182">
        <v>5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>
        <v>0</v>
      </c>
      <c r="BM3" s="182"/>
      <c r="BN3" s="182"/>
      <c r="BO3" s="182">
        <v>12</v>
      </c>
      <c r="BP3" s="182" t="s">
        <v>233</v>
      </c>
      <c r="BQ3" s="182"/>
      <c r="BR3" s="182"/>
      <c r="BS3" s="182"/>
      <c r="BT3" s="182"/>
      <c r="BU3" s="182"/>
      <c r="BV3" s="182"/>
      <c r="BW3" s="182" t="s">
        <v>233</v>
      </c>
      <c r="BX3" s="182">
        <v>1</v>
      </c>
      <c r="BY3" s="185"/>
    </row>
    <row r="4" spans="1:77" x14ac:dyDescent="0.15">
      <c r="A4" s="45">
        <v>1928</v>
      </c>
      <c r="B4" s="180">
        <v>42468</v>
      </c>
      <c r="C4" s="1" t="s">
        <v>186</v>
      </c>
      <c r="D4" s="161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111.46</v>
      </c>
      <c r="N4" s="17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 t="s">
        <v>196</v>
      </c>
      <c r="AS4" s="4" t="s">
        <v>189</v>
      </c>
      <c r="AU4" s="4"/>
      <c r="AV4" s="4" t="s">
        <v>193</v>
      </c>
      <c r="AW4" s="4">
        <v>9.3469999999999995</v>
      </c>
      <c r="AX4" s="4"/>
      <c r="AY4" s="4"/>
      <c r="AZ4" s="4"/>
      <c r="BA4" s="4" t="s">
        <v>194</v>
      </c>
      <c r="BB4" s="2"/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/>
      <c r="BN4" s="4" t="s">
        <v>189</v>
      </c>
      <c r="BO4" s="4"/>
      <c r="BP4" s="4" t="s">
        <v>188</v>
      </c>
      <c r="BQ4" s="4"/>
      <c r="BR4" s="4"/>
      <c r="BS4" s="4"/>
      <c r="BT4" s="179" t="s">
        <v>229</v>
      </c>
      <c r="BU4" s="46" t="s">
        <v>173</v>
      </c>
      <c r="BV4" s="182">
        <v>20</v>
      </c>
      <c r="BW4" s="4" t="s">
        <v>189</v>
      </c>
      <c r="BX4" s="4"/>
      <c r="BY4" s="2"/>
    </row>
    <row r="5" spans="1:77" ht="13" customHeight="1" x14ac:dyDescent="0.15">
      <c r="A5" s="45">
        <v>4939</v>
      </c>
      <c r="B5" s="180">
        <v>42468</v>
      </c>
      <c r="C5" s="181" t="s">
        <v>230</v>
      </c>
      <c r="D5" s="179" t="s">
        <v>203</v>
      </c>
      <c r="E5" s="179"/>
      <c r="F5" s="179" t="s">
        <v>240</v>
      </c>
      <c r="G5" s="180">
        <v>42427</v>
      </c>
      <c r="H5" s="182" t="s">
        <v>221</v>
      </c>
      <c r="I5" s="182" t="s">
        <v>222</v>
      </c>
      <c r="J5" s="182"/>
      <c r="K5" s="179" t="s">
        <v>207</v>
      </c>
      <c r="L5" s="179" t="s">
        <v>208</v>
      </c>
      <c r="M5" s="229">
        <v>111.44545454545454</v>
      </c>
      <c r="N5" s="229">
        <v>31.399999999999995</v>
      </c>
      <c r="O5" s="179" t="s">
        <v>241</v>
      </c>
      <c r="P5" s="179">
        <v>500</v>
      </c>
      <c r="Q5" s="229">
        <v>23.218181818181815</v>
      </c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9">
        <v>14.872727272727271</v>
      </c>
      <c r="AG5" s="179"/>
      <c r="AH5" s="179"/>
      <c r="AI5" s="227"/>
      <c r="AJ5" s="179"/>
      <c r="AK5" s="179"/>
      <c r="AL5" s="179"/>
      <c r="AM5" s="179"/>
      <c r="AN5" s="179"/>
      <c r="AO5" s="227"/>
      <c r="AP5" s="228"/>
      <c r="AQ5" s="227"/>
      <c r="AR5" s="179" t="s">
        <v>242</v>
      </c>
      <c r="AS5" s="182" t="s">
        <v>233</v>
      </c>
      <c r="AT5" s="182"/>
      <c r="AU5" s="182"/>
      <c r="AV5" s="182" t="s">
        <v>238</v>
      </c>
      <c r="AW5" s="182">
        <v>9.3469999999999995</v>
      </c>
      <c r="AX5" s="182"/>
      <c r="AY5" s="182"/>
      <c r="AZ5" s="182"/>
      <c r="BA5" s="182" t="s">
        <v>233</v>
      </c>
      <c r="BB5" s="179"/>
      <c r="BC5" s="182">
        <v>0</v>
      </c>
      <c r="BD5" s="182">
        <v>0</v>
      </c>
      <c r="BE5" s="182">
        <v>0</v>
      </c>
      <c r="BF5" s="182">
        <v>5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>
        <v>0</v>
      </c>
      <c r="BM5" s="182"/>
      <c r="BN5" s="182"/>
      <c r="BO5" s="182">
        <v>12</v>
      </c>
      <c r="BP5" s="182" t="s">
        <v>233</v>
      </c>
      <c r="BQ5" s="182"/>
      <c r="BR5" s="182"/>
      <c r="BS5" s="182"/>
      <c r="BT5" s="182"/>
      <c r="BU5" s="182"/>
      <c r="BV5" s="182"/>
      <c r="BW5" s="182" t="s">
        <v>233</v>
      </c>
      <c r="BX5" s="182">
        <v>1</v>
      </c>
      <c r="BY5" s="185"/>
    </row>
    <row r="6" spans="1:77" ht="13" customHeight="1" x14ac:dyDescent="0.15">
      <c r="A6" s="45">
        <v>1931</v>
      </c>
      <c r="B6" s="180">
        <v>42468</v>
      </c>
      <c r="C6" s="181" t="s">
        <v>230</v>
      </c>
      <c r="D6" s="179" t="s">
        <v>203</v>
      </c>
      <c r="E6" s="179"/>
      <c r="F6" s="179" t="s">
        <v>231</v>
      </c>
      <c r="G6" s="180">
        <v>42185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102.37272727272726</v>
      </c>
      <c r="N6" s="183">
        <v>25.881818181818179</v>
      </c>
      <c r="O6" s="179"/>
      <c r="P6" s="179"/>
      <c r="Q6" s="183" t="s">
        <v>236</v>
      </c>
      <c r="R6" s="179"/>
      <c r="S6" s="183"/>
      <c r="T6" s="184"/>
      <c r="U6" s="179"/>
      <c r="V6" s="183" t="s">
        <v>236</v>
      </c>
      <c r="W6" s="183">
        <v>10.927272727272726</v>
      </c>
      <c r="X6" s="179"/>
      <c r="Y6" s="179"/>
      <c r="Z6" s="179"/>
      <c r="AA6" s="179"/>
      <c r="AB6" s="179"/>
      <c r="AC6" s="179"/>
      <c r="AD6" s="179"/>
      <c r="AE6" s="183" t="s">
        <v>236</v>
      </c>
      <c r="AF6" s="183" t="s">
        <v>236</v>
      </c>
      <c r="AG6" s="179"/>
      <c r="AH6" s="179"/>
      <c r="AI6" s="183">
        <v>18.672727272727272</v>
      </c>
      <c r="AJ6" s="179"/>
      <c r="AK6" s="179"/>
      <c r="AL6" s="179"/>
      <c r="AM6" s="179"/>
      <c r="AN6" s="179"/>
      <c r="AO6" s="183" t="s">
        <v>236</v>
      </c>
      <c r="AP6" s="183" t="s">
        <v>236</v>
      </c>
      <c r="AQ6" s="183" t="s">
        <v>236</v>
      </c>
      <c r="AR6" s="179" t="s">
        <v>237</v>
      </c>
      <c r="AS6" s="182" t="s">
        <v>233</v>
      </c>
      <c r="AT6" s="182"/>
      <c r="AU6" s="182"/>
      <c r="AV6" s="182" t="s">
        <v>238</v>
      </c>
      <c r="AW6" s="182">
        <v>9.3469999999999995</v>
      </c>
      <c r="AX6" s="182"/>
      <c r="AY6" s="182"/>
      <c r="AZ6" s="182"/>
      <c r="BA6" s="182" t="s">
        <v>239</v>
      </c>
      <c r="BB6" s="179"/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>
        <v>0</v>
      </c>
      <c r="BM6" s="182"/>
      <c r="BN6" s="182" t="s">
        <v>233</v>
      </c>
      <c r="BO6" s="182"/>
      <c r="BP6" s="4" t="s">
        <v>188</v>
      </c>
      <c r="BQ6" s="182"/>
      <c r="BR6" s="182"/>
      <c r="BS6" s="182"/>
      <c r="BT6" s="179" t="s">
        <v>229</v>
      </c>
      <c r="BU6" s="185" t="s">
        <v>173</v>
      </c>
      <c r="BV6" s="182">
        <v>20</v>
      </c>
      <c r="BW6" s="182" t="s">
        <v>233</v>
      </c>
      <c r="BX6" s="182"/>
      <c r="BY6" s="179"/>
    </row>
    <row r="7" spans="1:77" ht="13" customHeight="1" x14ac:dyDescent="0.15">
      <c r="A7" s="45">
        <v>4942</v>
      </c>
      <c r="B7" s="180">
        <v>42468</v>
      </c>
      <c r="C7" s="181" t="s">
        <v>230</v>
      </c>
      <c r="D7" s="179" t="s">
        <v>203</v>
      </c>
      <c r="E7" s="179"/>
      <c r="F7" s="179" t="s">
        <v>231</v>
      </c>
      <c r="G7" s="180">
        <v>42427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102.37272727272726</v>
      </c>
      <c r="N7" s="229">
        <v>25.836363636363636</v>
      </c>
      <c r="O7" s="179"/>
      <c r="P7" s="179"/>
      <c r="Q7" s="227"/>
      <c r="R7" s="179"/>
      <c r="S7" s="227"/>
      <c r="T7" s="184"/>
      <c r="U7" s="179"/>
      <c r="V7" s="227"/>
      <c r="W7" s="229">
        <v>10.918181818181818</v>
      </c>
      <c r="X7" s="179"/>
      <c r="Y7" s="179"/>
      <c r="Z7" s="179"/>
      <c r="AA7" s="179"/>
      <c r="AB7" s="179"/>
      <c r="AC7" s="179"/>
      <c r="AD7" s="179"/>
      <c r="AE7" s="227"/>
      <c r="AF7" s="227"/>
      <c r="AG7" s="179"/>
      <c r="AH7" s="179"/>
      <c r="AI7" s="229">
        <v>18.309999999999999</v>
      </c>
      <c r="AJ7" s="179"/>
      <c r="AK7" s="179"/>
      <c r="AL7" s="179"/>
      <c r="AM7" s="179"/>
      <c r="AN7" s="179"/>
      <c r="AO7" s="227"/>
      <c r="AP7" s="228"/>
      <c r="AQ7" s="227"/>
      <c r="AR7" s="179" t="s">
        <v>237</v>
      </c>
      <c r="AS7" s="182" t="s">
        <v>233</v>
      </c>
      <c r="AT7" s="182"/>
      <c r="AU7" s="182"/>
      <c r="AV7" s="182" t="s">
        <v>238</v>
      </c>
      <c r="AW7" s="182">
        <v>9.3469999999999995</v>
      </c>
      <c r="AX7" s="182"/>
      <c r="AY7" s="182"/>
      <c r="AZ7" s="182"/>
      <c r="BA7" s="182" t="s">
        <v>233</v>
      </c>
      <c r="BB7" s="179"/>
      <c r="BC7" s="182">
        <v>0</v>
      </c>
      <c r="BD7" s="182">
        <v>0</v>
      </c>
      <c r="BE7" s="182">
        <v>0</v>
      </c>
      <c r="BF7" s="182">
        <v>5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>
        <v>0</v>
      </c>
      <c r="BM7" s="182"/>
      <c r="BN7" s="182"/>
      <c r="BO7" s="182">
        <v>12</v>
      </c>
      <c r="BP7" s="182" t="s">
        <v>233</v>
      </c>
      <c r="BQ7" s="182"/>
      <c r="BR7" s="182"/>
      <c r="BS7" s="182"/>
      <c r="BT7" s="182"/>
      <c r="BU7" s="182"/>
      <c r="BV7" s="182"/>
      <c r="BW7" s="182" t="s">
        <v>233</v>
      </c>
      <c r="BX7" s="182">
        <v>1</v>
      </c>
      <c r="BY7" s="185"/>
    </row>
  </sheetData>
  <sheetProtection algorithmName="SHA-512" hashValue="DZI6cXc5MuXjGKoiBnVtUqpq7qIRGDMHkO4u4G7NO4S+0SncERk9eBF50ylYYFJvRga3wEJjK9ub3TN18qXl5g==" saltValue="V52jTWN1AgMU7ex7+McWaA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3D0-91D4-5E46-81A4-1DD8B667A866}">
  <sheetPr codeName="Sheet10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6" t="s">
        <v>12</v>
      </c>
      <c r="BT1" s="6" t="s">
        <v>60</v>
      </c>
      <c r="BU1" s="8" t="s">
        <v>53</v>
      </c>
      <c r="BV1" s="8" t="s">
        <v>8</v>
      </c>
      <c r="BW1" s="6" t="s">
        <v>11</v>
      </c>
    </row>
    <row r="2" spans="1:75" x14ac:dyDescent="0.15">
      <c r="A2" s="45">
        <v>1930</v>
      </c>
      <c r="B2" s="31">
        <v>42299</v>
      </c>
      <c r="C2" s="1" t="s">
        <v>219</v>
      </c>
      <c r="D2" s="161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94.518181818181816</v>
      </c>
      <c r="N2" s="178">
        <v>31.399999999999995</v>
      </c>
      <c r="O2" s="2" t="s">
        <v>225</v>
      </c>
      <c r="P2" s="2">
        <v>500</v>
      </c>
      <c r="Q2" s="17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226</v>
      </c>
      <c r="AR2" s="4" t="s">
        <v>222</v>
      </c>
      <c r="AT2" s="4"/>
      <c r="AU2" s="4" t="s">
        <v>227</v>
      </c>
      <c r="AV2" s="4">
        <v>9.3469999999999995</v>
      </c>
      <c r="AW2" s="4"/>
      <c r="AX2" s="4"/>
      <c r="AY2" s="4"/>
      <c r="AZ2" s="4" t="s">
        <v>228</v>
      </c>
      <c r="BA2" s="2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2" t="s">
        <v>229</v>
      </c>
      <c r="BT2" s="46" t="s">
        <v>173</v>
      </c>
      <c r="BU2" s="4">
        <v>20</v>
      </c>
      <c r="BV2" s="4" t="s">
        <v>222</v>
      </c>
      <c r="BW2" s="2"/>
    </row>
    <row r="3" spans="1:75" x14ac:dyDescent="0.15">
      <c r="A3" s="45">
        <v>4941</v>
      </c>
      <c r="B3" s="31">
        <v>42299</v>
      </c>
      <c r="C3" s="1" t="s">
        <v>219</v>
      </c>
      <c r="D3" s="161" t="s">
        <v>203</v>
      </c>
      <c r="E3" s="2"/>
      <c r="F3" s="2" t="s">
        <v>220</v>
      </c>
      <c r="G3" s="3">
        <v>42179</v>
      </c>
      <c r="H3" s="4" t="s">
        <v>221</v>
      </c>
      <c r="I3" s="4" t="s">
        <v>222</v>
      </c>
      <c r="J3" s="4"/>
      <c r="K3" s="2" t="s">
        <v>207</v>
      </c>
      <c r="L3" s="2" t="s">
        <v>208</v>
      </c>
      <c r="M3" s="178">
        <v>94.509090909090901</v>
      </c>
      <c r="N3" s="178">
        <v>31.399999999999995</v>
      </c>
      <c r="O3" s="2" t="s">
        <v>225</v>
      </c>
      <c r="P3" s="2">
        <v>500</v>
      </c>
      <c r="Q3" s="178">
        <v>23.218181818181815</v>
      </c>
      <c r="R3" s="2"/>
      <c r="S3" s="2"/>
      <c r="T3" s="16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226</v>
      </c>
      <c r="AR3" s="4" t="s">
        <v>222</v>
      </c>
      <c r="AS3" s="4"/>
      <c r="AT3" s="4"/>
      <c r="AU3" s="4" t="s">
        <v>227</v>
      </c>
      <c r="AV3" s="4">
        <v>9.3469999999999995</v>
      </c>
      <c r="AW3" s="4"/>
      <c r="AX3" s="4"/>
      <c r="AY3" s="4"/>
      <c r="AZ3" s="4" t="s">
        <v>228</v>
      </c>
      <c r="BA3" s="2"/>
      <c r="BB3" s="4">
        <v>0</v>
      </c>
      <c r="BC3" s="4">
        <v>0</v>
      </c>
      <c r="BD3" s="4">
        <v>0</v>
      </c>
      <c r="BE3" s="4">
        <v>5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/>
      <c r="BM3" s="4"/>
      <c r="BN3" s="4"/>
      <c r="BO3" s="4" t="s">
        <v>222</v>
      </c>
      <c r="BP3" s="4"/>
      <c r="BQ3" s="4"/>
      <c r="BR3" s="4"/>
      <c r="BS3" s="4"/>
      <c r="BT3" s="4"/>
      <c r="BU3" s="4"/>
      <c r="BV3" s="4" t="s">
        <v>222</v>
      </c>
      <c r="BW3" s="161" t="s">
        <v>213</v>
      </c>
    </row>
    <row r="4" spans="1:75" x14ac:dyDescent="0.15">
      <c r="A4" s="45">
        <v>1928</v>
      </c>
      <c r="B4" s="31">
        <v>42299</v>
      </c>
      <c r="C4" s="1" t="s">
        <v>186</v>
      </c>
      <c r="D4" s="161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111.46</v>
      </c>
      <c r="N4" s="17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T4" s="4"/>
      <c r="AU4" s="4" t="s">
        <v>193</v>
      </c>
      <c r="AV4" s="4">
        <v>9.3469999999999995</v>
      </c>
      <c r="AW4" s="4"/>
      <c r="AX4" s="4"/>
      <c r="AY4" s="4"/>
      <c r="AZ4" s="4" t="s">
        <v>194</v>
      </c>
      <c r="BA4" s="2"/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/>
      <c r="BM4" s="4" t="s">
        <v>189</v>
      </c>
      <c r="BN4" s="4"/>
      <c r="BO4" s="4" t="s">
        <v>188</v>
      </c>
      <c r="BP4" s="4"/>
      <c r="BQ4" s="4"/>
      <c r="BR4" s="4"/>
      <c r="BS4" s="179" t="s">
        <v>229</v>
      </c>
      <c r="BT4" s="46" t="s">
        <v>173</v>
      </c>
      <c r="BU4" s="182">
        <v>20</v>
      </c>
      <c r="BV4" s="4" t="s">
        <v>189</v>
      </c>
      <c r="BW4" s="2"/>
    </row>
    <row r="5" spans="1:75" ht="13" customHeight="1" x14ac:dyDescent="0.15">
      <c r="A5" s="45">
        <v>4939</v>
      </c>
      <c r="B5" s="31">
        <v>42299</v>
      </c>
      <c r="C5" s="181" t="s">
        <v>230</v>
      </c>
      <c r="D5" s="179" t="s">
        <v>203</v>
      </c>
      <c r="E5" s="179"/>
      <c r="F5" s="179" t="s">
        <v>240</v>
      </c>
      <c r="G5" s="180">
        <v>42179</v>
      </c>
      <c r="H5" s="182" t="s">
        <v>221</v>
      </c>
      <c r="I5" s="182" t="s">
        <v>222</v>
      </c>
      <c r="J5" s="182"/>
      <c r="K5" s="179" t="s">
        <v>207</v>
      </c>
      <c r="L5" s="179" t="s">
        <v>208</v>
      </c>
      <c r="M5" s="183">
        <v>111.44545454545454</v>
      </c>
      <c r="N5" s="183">
        <v>31.399999999999995</v>
      </c>
      <c r="O5" s="179" t="s">
        <v>241</v>
      </c>
      <c r="P5" s="179">
        <v>500</v>
      </c>
      <c r="Q5" s="183">
        <v>23.218181818181815</v>
      </c>
      <c r="R5" s="179"/>
      <c r="S5" s="183"/>
      <c r="T5" s="184"/>
      <c r="U5" s="179"/>
      <c r="V5" s="183" t="s">
        <v>236</v>
      </c>
      <c r="W5" s="183" t="s">
        <v>236</v>
      </c>
      <c r="X5" s="179"/>
      <c r="Y5" s="179"/>
      <c r="Z5" s="179"/>
      <c r="AA5" s="179"/>
      <c r="AB5" s="179"/>
      <c r="AC5" s="179"/>
      <c r="AD5" s="179"/>
      <c r="AE5" s="183" t="s">
        <v>236</v>
      </c>
      <c r="AF5" s="183">
        <v>14.872727272727271</v>
      </c>
      <c r="AG5" s="179"/>
      <c r="AH5" s="179"/>
      <c r="AI5" s="183" t="s">
        <v>236</v>
      </c>
      <c r="AJ5" s="179"/>
      <c r="AK5" s="179"/>
      <c r="AL5" s="179"/>
      <c r="AM5" s="179"/>
      <c r="AN5" s="183" t="s">
        <v>236</v>
      </c>
      <c r="AO5" s="183" t="s">
        <v>236</v>
      </c>
      <c r="AP5" s="183" t="s">
        <v>236</v>
      </c>
      <c r="AQ5" s="179" t="s">
        <v>242</v>
      </c>
      <c r="AR5" s="182" t="s">
        <v>233</v>
      </c>
      <c r="AS5" s="182"/>
      <c r="AT5" s="182"/>
      <c r="AU5" s="182" t="s">
        <v>238</v>
      </c>
      <c r="AV5" s="182">
        <v>9.3469999999999995</v>
      </c>
      <c r="AW5" s="182"/>
      <c r="AX5" s="182"/>
      <c r="AY5" s="182"/>
      <c r="AZ5" s="182" t="s">
        <v>239</v>
      </c>
      <c r="BA5" s="179"/>
      <c r="BB5" s="182">
        <v>0</v>
      </c>
      <c r="BC5" s="182">
        <v>0</v>
      </c>
      <c r="BD5" s="182">
        <v>0</v>
      </c>
      <c r="BE5" s="182">
        <v>5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182"/>
      <c r="BQ5" s="182"/>
      <c r="BR5" s="182"/>
      <c r="BS5" s="182"/>
      <c r="BT5" s="182"/>
      <c r="BU5" s="182"/>
      <c r="BV5" s="182" t="s">
        <v>233</v>
      </c>
      <c r="BW5" s="185" t="s">
        <v>213</v>
      </c>
    </row>
    <row r="6" spans="1:75" ht="13" customHeight="1" x14ac:dyDescent="0.15">
      <c r="A6" s="45">
        <v>1931</v>
      </c>
      <c r="B6" s="31">
        <v>42299</v>
      </c>
      <c r="C6" s="181" t="s">
        <v>230</v>
      </c>
      <c r="D6" s="179" t="s">
        <v>203</v>
      </c>
      <c r="E6" s="179"/>
      <c r="F6" s="179" t="s">
        <v>231</v>
      </c>
      <c r="G6" s="180">
        <v>42185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102.37272727272726</v>
      </c>
      <c r="N6" s="183">
        <v>25.881818181818179</v>
      </c>
      <c r="O6" s="179"/>
      <c r="P6" s="179"/>
      <c r="Q6" s="183" t="s">
        <v>236</v>
      </c>
      <c r="R6" s="179"/>
      <c r="S6" s="183"/>
      <c r="T6" s="184"/>
      <c r="U6" s="179"/>
      <c r="V6" s="183" t="s">
        <v>236</v>
      </c>
      <c r="W6" s="183">
        <v>10.927272727272726</v>
      </c>
      <c r="X6" s="179"/>
      <c r="Y6" s="179"/>
      <c r="Z6" s="179"/>
      <c r="AA6" s="179"/>
      <c r="AB6" s="179"/>
      <c r="AC6" s="179"/>
      <c r="AD6" s="179"/>
      <c r="AE6" s="183" t="s">
        <v>236</v>
      </c>
      <c r="AF6" s="183" t="s">
        <v>236</v>
      </c>
      <c r="AG6" s="179"/>
      <c r="AH6" s="179"/>
      <c r="AI6" s="183">
        <v>18.672727272727272</v>
      </c>
      <c r="AJ6" s="179"/>
      <c r="AK6" s="179"/>
      <c r="AL6" s="179"/>
      <c r="AM6" s="179"/>
      <c r="AN6" s="183" t="s">
        <v>236</v>
      </c>
      <c r="AO6" s="183" t="s">
        <v>236</v>
      </c>
      <c r="AP6" s="183" t="s">
        <v>236</v>
      </c>
      <c r="AQ6" s="179" t="s">
        <v>237</v>
      </c>
      <c r="AR6" s="182" t="s">
        <v>233</v>
      </c>
      <c r="AS6" s="182"/>
      <c r="AT6" s="182"/>
      <c r="AU6" s="182" t="s">
        <v>238</v>
      </c>
      <c r="AV6" s="182">
        <v>9.3469999999999995</v>
      </c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 t="s">
        <v>233</v>
      </c>
      <c r="BN6" s="182"/>
      <c r="BO6" s="4" t="s">
        <v>188</v>
      </c>
      <c r="BP6" s="182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79"/>
    </row>
    <row r="7" spans="1:75" ht="13" customHeight="1" x14ac:dyDescent="0.15">
      <c r="A7" s="45">
        <v>4942</v>
      </c>
      <c r="B7" s="31">
        <v>42299</v>
      </c>
      <c r="C7" s="181" t="s">
        <v>230</v>
      </c>
      <c r="D7" s="179" t="s">
        <v>203</v>
      </c>
      <c r="E7" s="179"/>
      <c r="F7" s="179" t="s">
        <v>231</v>
      </c>
      <c r="G7" s="180">
        <v>42179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102.37272727272726</v>
      </c>
      <c r="N7" s="183">
        <v>25.836363636363636</v>
      </c>
      <c r="O7" s="179"/>
      <c r="P7" s="179"/>
      <c r="Q7" s="183" t="s">
        <v>236</v>
      </c>
      <c r="R7" s="179"/>
      <c r="S7" s="183"/>
      <c r="T7" s="184"/>
      <c r="U7" s="179"/>
      <c r="V7" s="183" t="s">
        <v>236</v>
      </c>
      <c r="W7" s="183">
        <v>10.918181818181818</v>
      </c>
      <c r="X7" s="179"/>
      <c r="Y7" s="179"/>
      <c r="Z7" s="179"/>
      <c r="AA7" s="179"/>
      <c r="AB7" s="179"/>
      <c r="AC7" s="179"/>
      <c r="AD7" s="179"/>
      <c r="AE7" s="183" t="s">
        <v>236</v>
      </c>
      <c r="AF7" s="183" t="s">
        <v>236</v>
      </c>
      <c r="AG7" s="179"/>
      <c r="AH7" s="179"/>
      <c r="AI7" s="183">
        <v>18.309999999999999</v>
      </c>
      <c r="AJ7" s="179"/>
      <c r="AK7" s="179"/>
      <c r="AL7" s="179"/>
      <c r="AM7" s="179"/>
      <c r="AN7" s="183" t="s">
        <v>236</v>
      </c>
      <c r="AO7" s="183" t="s">
        <v>236</v>
      </c>
      <c r="AP7" s="183" t="s">
        <v>236</v>
      </c>
      <c r="AQ7" s="179" t="s">
        <v>237</v>
      </c>
      <c r="AR7" s="182" t="s">
        <v>233</v>
      </c>
      <c r="AS7" s="182"/>
      <c r="AT7" s="182"/>
      <c r="AU7" s="182" t="s">
        <v>238</v>
      </c>
      <c r="AV7" s="182">
        <v>9.3469999999999995</v>
      </c>
      <c r="AW7" s="182"/>
      <c r="AX7" s="182"/>
      <c r="AY7" s="182"/>
      <c r="AZ7" s="182" t="s">
        <v>239</v>
      </c>
      <c r="BA7" s="179"/>
      <c r="BB7" s="182">
        <v>0</v>
      </c>
      <c r="BC7" s="182">
        <v>0</v>
      </c>
      <c r="BD7" s="182">
        <v>0</v>
      </c>
      <c r="BE7" s="182">
        <v>5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/>
      <c r="BO7" s="182" t="s">
        <v>233</v>
      </c>
      <c r="BP7" s="182"/>
      <c r="BQ7" s="182"/>
      <c r="BR7" s="182"/>
      <c r="BS7" s="182"/>
      <c r="BT7" s="182"/>
      <c r="BU7" s="182"/>
      <c r="BV7" s="182" t="s">
        <v>233</v>
      </c>
      <c r="BW7" s="185" t="s">
        <v>213</v>
      </c>
    </row>
  </sheetData>
  <sheetProtection algorithmName="SHA-512" hashValue="spDmnYg/GFD5Lj6ujqu08+MpINqXpRz+NRuh494zfQ3z4V/BZs2bqaQQHlBTTkOU9tVNne8U0Qlb+F35IJ8OAg==" saltValue="SjXNt9sQomPB7UQ5eGbdpw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A0EF-7C5F-C841-B147-481AFD912A10}">
  <sheetPr codeName="Sheet11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6" t="s">
        <v>12</v>
      </c>
      <c r="BT1" s="6" t="s">
        <v>60</v>
      </c>
      <c r="BU1" s="8" t="s">
        <v>53</v>
      </c>
      <c r="BV1" s="8" t="s">
        <v>8</v>
      </c>
      <c r="BW1" s="6" t="s">
        <v>11</v>
      </c>
    </row>
    <row r="2" spans="1:75" x14ac:dyDescent="0.15">
      <c r="A2" s="45">
        <v>1930</v>
      </c>
      <c r="B2" s="31">
        <v>41927</v>
      </c>
      <c r="C2" s="1" t="s">
        <v>186</v>
      </c>
      <c r="D2" s="161" t="s">
        <v>203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T2" s="4"/>
      <c r="AU2" s="4" t="s">
        <v>193</v>
      </c>
      <c r="AV2" s="4">
        <v>8.5410000000000004</v>
      </c>
      <c r="AW2" s="4"/>
      <c r="AX2" s="4"/>
      <c r="AY2" s="4"/>
      <c r="AZ2" s="4" t="s">
        <v>194</v>
      </c>
      <c r="BA2" s="2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189</v>
      </c>
      <c r="BN2" s="4"/>
      <c r="BO2" s="4" t="s">
        <v>188</v>
      </c>
      <c r="BP2" s="4"/>
      <c r="BQ2" s="4"/>
      <c r="BR2" s="4"/>
      <c r="BS2" s="2" t="s">
        <v>172</v>
      </c>
      <c r="BT2" s="46" t="s">
        <v>173</v>
      </c>
      <c r="BU2" s="4">
        <v>18.25</v>
      </c>
      <c r="BV2" s="4" t="s">
        <v>189</v>
      </c>
      <c r="BW2" s="2"/>
    </row>
    <row r="3" spans="1:75" x14ac:dyDescent="0.15">
      <c r="A3" s="45">
        <v>4941</v>
      </c>
      <c r="B3" s="31">
        <v>42103</v>
      </c>
      <c r="C3" s="1" t="s">
        <v>202</v>
      </c>
      <c r="D3" s="161" t="s">
        <v>203</v>
      </c>
      <c r="E3" s="2"/>
      <c r="F3" s="2" t="s">
        <v>204</v>
      </c>
      <c r="G3" s="3">
        <v>42052</v>
      </c>
      <c r="H3" s="4" t="s">
        <v>205</v>
      </c>
      <c r="I3" s="4" t="s">
        <v>206</v>
      </c>
      <c r="J3" s="4"/>
      <c r="K3" s="2" t="s">
        <v>207</v>
      </c>
      <c r="L3" s="2" t="s">
        <v>208</v>
      </c>
      <c r="M3" s="2">
        <v>92.66</v>
      </c>
      <c r="N3" s="2">
        <v>30.78</v>
      </c>
      <c r="O3" s="2" t="s">
        <v>209</v>
      </c>
      <c r="P3" s="2">
        <v>500</v>
      </c>
      <c r="Q3" s="2">
        <v>22.77</v>
      </c>
      <c r="R3" s="2"/>
      <c r="S3" s="2"/>
      <c r="T3" s="16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210</v>
      </c>
      <c r="AR3" s="4" t="s">
        <v>206</v>
      </c>
      <c r="AS3" s="4"/>
      <c r="AT3" s="4"/>
      <c r="AU3" s="4" t="s">
        <v>211</v>
      </c>
      <c r="AV3" s="4">
        <v>8.5410000000000004</v>
      </c>
      <c r="AW3" s="4"/>
      <c r="AX3" s="4"/>
      <c r="AY3" s="4"/>
      <c r="AZ3" s="4" t="s">
        <v>212</v>
      </c>
      <c r="BA3" s="2"/>
      <c r="BB3" s="4">
        <v>0</v>
      </c>
      <c r="BC3" s="4">
        <v>0</v>
      </c>
      <c r="BD3" s="4">
        <v>0</v>
      </c>
      <c r="BE3" s="4">
        <v>5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/>
      <c r="BM3" s="4" t="s">
        <v>189</v>
      </c>
      <c r="BN3" s="4"/>
      <c r="BO3" s="4" t="s">
        <v>206</v>
      </c>
      <c r="BP3" s="4"/>
      <c r="BQ3" s="4"/>
      <c r="BR3" s="4"/>
      <c r="BS3" s="4"/>
      <c r="BT3" s="4"/>
      <c r="BU3" s="4"/>
      <c r="BV3" s="4" t="s">
        <v>206</v>
      </c>
      <c r="BW3" s="161" t="s">
        <v>213</v>
      </c>
    </row>
    <row r="4" spans="1:75" x14ac:dyDescent="0.15">
      <c r="A4" s="45">
        <v>1928</v>
      </c>
      <c r="B4" s="31">
        <v>41927</v>
      </c>
      <c r="C4" s="1" t="s">
        <v>186</v>
      </c>
      <c r="D4" s="161" t="s">
        <v>203</v>
      </c>
      <c r="E4" s="2"/>
      <c r="F4" s="2" t="s">
        <v>195</v>
      </c>
      <c r="G4" s="3">
        <v>41820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109.27200000000001</v>
      </c>
      <c r="N4" s="2">
        <v>30.785</v>
      </c>
      <c r="O4" s="2" t="s">
        <v>130</v>
      </c>
      <c r="P4" s="2">
        <v>500</v>
      </c>
      <c r="Q4" s="2">
        <v>22.774000000000001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14.583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T4" s="4"/>
      <c r="AU4" s="4" t="s">
        <v>193</v>
      </c>
      <c r="AV4" s="4">
        <v>8.5410000000000004</v>
      </c>
      <c r="AW4" s="4"/>
      <c r="AX4" s="4"/>
      <c r="AY4" s="4"/>
      <c r="AZ4" s="4" t="s">
        <v>194</v>
      </c>
      <c r="BA4" s="2"/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/>
      <c r="BM4" s="4" t="s">
        <v>189</v>
      </c>
      <c r="BN4" s="4"/>
      <c r="BO4" s="4" t="s">
        <v>188</v>
      </c>
      <c r="BP4" s="4"/>
      <c r="BQ4" s="4"/>
      <c r="BR4" s="4"/>
      <c r="BS4" s="2" t="s">
        <v>172</v>
      </c>
      <c r="BT4" s="46" t="s">
        <v>173</v>
      </c>
      <c r="BU4" s="4">
        <v>18.25</v>
      </c>
      <c r="BV4" s="4" t="s">
        <v>189</v>
      </c>
      <c r="BW4" s="2"/>
    </row>
    <row r="5" spans="1:75" x14ac:dyDescent="0.15">
      <c r="A5" s="45">
        <v>4939</v>
      </c>
      <c r="B5" s="31">
        <v>42103</v>
      </c>
      <c r="C5" s="1" t="s">
        <v>202</v>
      </c>
      <c r="D5" s="161" t="s">
        <v>203</v>
      </c>
      <c r="E5" s="2"/>
      <c r="F5" s="2" t="s">
        <v>214</v>
      </c>
      <c r="G5" s="3">
        <v>42052</v>
      </c>
      <c r="H5" s="4" t="s">
        <v>205</v>
      </c>
      <c r="I5" s="4" t="s">
        <v>206</v>
      </c>
      <c r="J5" s="4"/>
      <c r="K5" s="2" t="s">
        <v>207</v>
      </c>
      <c r="L5" s="2" t="s">
        <v>208</v>
      </c>
      <c r="M5" s="2">
        <v>109.27200000000001</v>
      </c>
      <c r="N5" s="2">
        <v>30.78</v>
      </c>
      <c r="O5" s="2" t="s">
        <v>209</v>
      </c>
      <c r="P5" s="2">
        <v>500</v>
      </c>
      <c r="Q5" s="2">
        <v>22.77</v>
      </c>
      <c r="R5" s="2"/>
      <c r="S5" s="2"/>
      <c r="T5" s="16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73">
        <v>14.582000000000001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215</v>
      </c>
      <c r="AR5" s="4" t="s">
        <v>206</v>
      </c>
      <c r="AS5" s="4"/>
      <c r="AT5" s="4"/>
      <c r="AU5" s="4" t="s">
        <v>211</v>
      </c>
      <c r="AV5" s="4">
        <v>8.5410000000000004</v>
      </c>
      <c r="AW5" s="4"/>
      <c r="AX5" s="4"/>
      <c r="AY5" s="4"/>
      <c r="AZ5" s="4" t="s">
        <v>212</v>
      </c>
      <c r="BA5" s="2"/>
      <c r="BB5" s="4">
        <v>0</v>
      </c>
      <c r="BC5" s="4">
        <v>0</v>
      </c>
      <c r="BD5" s="4">
        <v>0</v>
      </c>
      <c r="BE5" s="4">
        <v>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189</v>
      </c>
      <c r="BN5" s="4"/>
      <c r="BO5" s="4" t="s">
        <v>206</v>
      </c>
      <c r="BP5" s="4"/>
      <c r="BQ5" s="4"/>
      <c r="BR5" s="4"/>
      <c r="BS5" s="4"/>
      <c r="BT5" s="4"/>
      <c r="BU5" s="4"/>
      <c r="BV5" s="4" t="s">
        <v>206</v>
      </c>
      <c r="BW5" s="161" t="s">
        <v>213</v>
      </c>
    </row>
    <row r="6" spans="1:75" x14ac:dyDescent="0.15">
      <c r="A6" s="45">
        <v>1931</v>
      </c>
      <c r="B6" s="31">
        <v>41927</v>
      </c>
      <c r="C6" s="1" t="s">
        <v>186</v>
      </c>
      <c r="D6" s="161" t="s">
        <v>203</v>
      </c>
      <c r="E6" s="2"/>
      <c r="F6" s="2" t="s">
        <v>197</v>
      </c>
      <c r="G6" s="3">
        <v>41820</v>
      </c>
      <c r="H6" s="4" t="s">
        <v>188</v>
      </c>
      <c r="I6" s="4" t="s">
        <v>189</v>
      </c>
      <c r="J6" s="4"/>
      <c r="K6" s="2" t="s">
        <v>190</v>
      </c>
      <c r="L6" s="2" t="s">
        <v>191</v>
      </c>
      <c r="M6" s="2">
        <v>100.37</v>
      </c>
      <c r="N6" s="2">
        <v>25.332999999999998</v>
      </c>
      <c r="O6" s="2"/>
      <c r="P6" s="2"/>
      <c r="Q6" s="2"/>
      <c r="R6" s="2"/>
      <c r="S6" s="2"/>
      <c r="T6" s="2"/>
      <c r="U6" s="2"/>
      <c r="V6" s="2"/>
      <c r="W6" s="2">
        <v>10.71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18.309999999999999</v>
      </c>
      <c r="AJ6" s="2"/>
      <c r="AK6" s="2"/>
      <c r="AL6" s="2"/>
      <c r="AM6" s="2"/>
      <c r="AN6" s="2"/>
      <c r="AO6" s="2"/>
      <c r="AP6" s="2"/>
      <c r="AQ6" s="2" t="s">
        <v>198</v>
      </c>
      <c r="AR6" s="4" t="s">
        <v>189</v>
      </c>
      <c r="AT6" s="4"/>
      <c r="AU6" s="4" t="s">
        <v>193</v>
      </c>
      <c r="AV6" s="4">
        <v>8.5410000000000004</v>
      </c>
      <c r="AW6" s="4"/>
      <c r="AX6" s="4"/>
      <c r="AY6" s="4"/>
      <c r="AZ6" s="4" t="s">
        <v>194</v>
      </c>
      <c r="BA6" s="2"/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/>
      <c r="BM6" s="4" t="s">
        <v>189</v>
      </c>
      <c r="BN6" s="4"/>
      <c r="BO6" s="4" t="s">
        <v>189</v>
      </c>
      <c r="BP6" s="4"/>
      <c r="BQ6" s="4"/>
      <c r="BR6" s="4"/>
      <c r="BS6" s="2" t="s">
        <v>172</v>
      </c>
      <c r="BT6" s="46" t="s">
        <v>173</v>
      </c>
      <c r="BU6" s="4">
        <v>18.25</v>
      </c>
      <c r="BV6" s="4" t="s">
        <v>189</v>
      </c>
      <c r="BW6" s="2"/>
    </row>
    <row r="7" spans="1:75" x14ac:dyDescent="0.15">
      <c r="A7" s="45">
        <v>4942</v>
      </c>
      <c r="B7" s="31">
        <v>42103</v>
      </c>
      <c r="C7" s="1" t="s">
        <v>202</v>
      </c>
      <c r="D7" s="161" t="s">
        <v>203</v>
      </c>
      <c r="E7" s="2"/>
      <c r="F7" s="2" t="s">
        <v>216</v>
      </c>
      <c r="G7" s="3">
        <v>42052</v>
      </c>
      <c r="H7" s="4" t="s">
        <v>205</v>
      </c>
      <c r="I7" s="4" t="s">
        <v>206</v>
      </c>
      <c r="J7" s="4"/>
      <c r="K7" s="2" t="s">
        <v>207</v>
      </c>
      <c r="L7" s="2" t="s">
        <v>208</v>
      </c>
      <c r="M7" s="2">
        <v>100.37</v>
      </c>
      <c r="N7" s="2">
        <v>25.33</v>
      </c>
      <c r="O7" s="2"/>
      <c r="P7" s="2"/>
      <c r="Q7" s="2"/>
      <c r="R7" s="2"/>
      <c r="S7" s="2"/>
      <c r="T7" s="162"/>
      <c r="U7" s="2"/>
      <c r="V7" s="2"/>
      <c r="W7" s="2">
        <v>10.71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18.309999999999999</v>
      </c>
      <c r="AJ7" s="2"/>
      <c r="AK7" s="2"/>
      <c r="AL7" s="2"/>
      <c r="AM7" s="2"/>
      <c r="AN7" s="2"/>
      <c r="AO7" s="2"/>
      <c r="AP7" s="2"/>
      <c r="AQ7" s="2" t="s">
        <v>217</v>
      </c>
      <c r="AR7" s="4" t="s">
        <v>206</v>
      </c>
      <c r="AS7" s="4"/>
      <c r="AT7" s="4"/>
      <c r="AU7" s="4" t="s">
        <v>211</v>
      </c>
      <c r="AV7" s="4">
        <v>8.5410000000000004</v>
      </c>
      <c r="AW7" s="4"/>
      <c r="AX7" s="4"/>
      <c r="AY7" s="4"/>
      <c r="AZ7" s="4" t="s">
        <v>212</v>
      </c>
      <c r="BA7" s="2"/>
      <c r="BB7" s="4">
        <v>0</v>
      </c>
      <c r="BC7" s="4">
        <v>0</v>
      </c>
      <c r="BD7" s="4">
        <v>0</v>
      </c>
      <c r="BE7" s="4">
        <v>5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/>
      <c r="BM7" s="4" t="s">
        <v>189</v>
      </c>
      <c r="BN7" s="4"/>
      <c r="BO7" s="4" t="s">
        <v>206</v>
      </c>
      <c r="BP7" s="4"/>
      <c r="BQ7" s="4"/>
      <c r="BR7" s="4"/>
      <c r="BS7" s="4"/>
      <c r="BT7" s="4"/>
      <c r="BU7" s="4"/>
      <c r="BV7" s="4" t="s">
        <v>206</v>
      </c>
      <c r="BW7" s="161" t="s">
        <v>213</v>
      </c>
    </row>
  </sheetData>
  <sheetProtection algorithmName="SHA-512" hashValue="mOHSZpGiwpwN+4uvymADGBZdS+qWf1XLOc0pBI56TcLEbEm+d/DNhw9eIVinuZmFqL+AWgeoaI0dOvyEaTbUmQ==" saltValue="W+k7tLk/xWCKKldkzigvYQ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FFFF00"/>
  </sheetPr>
  <dimension ref="A1:AW74"/>
  <sheetViews>
    <sheetView zoomScale="75" workbookViewId="0">
      <selection activeCell="K36" sqref="K36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48" customWidth="1"/>
    <col min="50" max="16384" width="10.83203125" style="48"/>
  </cols>
  <sheetData>
    <row r="1" spans="1:49" ht="14" x14ac:dyDescent="0.15">
      <c r="A1" s="47" t="s">
        <v>149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</row>
    <row r="2" spans="1:49" ht="14" x14ac:dyDescent="0.15">
      <c r="A2" s="49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ht="15" thickBot="1" x14ac:dyDescent="0.2">
      <c r="A3" s="47"/>
      <c r="B3" s="47"/>
      <c r="C3" s="47"/>
      <c r="D3" s="47"/>
      <c r="E3" s="47"/>
      <c r="F3" s="47"/>
      <c r="G3" s="50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31" t="s">
        <v>95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</row>
    <row r="8" spans="1:49" ht="14" x14ac:dyDescent="0.15">
      <c r="A8" s="133" t="str">
        <f>'TAS Apr 2016'!K2</f>
        <v>Aurora Energy</v>
      </c>
      <c r="B8" s="142" t="str">
        <f>'TAS Apr 2016'!L2</f>
        <v>Regulated offer</v>
      </c>
      <c r="C8" s="107">
        <f>91*'TAS Apr 2016'!M2/100</f>
        <v>79.888900000000007</v>
      </c>
      <c r="D8" s="107">
        <f>IF($C$5&gt;='TAS Apr 2016'!P2,('TAS Apr 2016'!P2*'TAS Apr 2016'!N2/100),('TAS Bills April 2016'!$C$5*'TAS Apr 2016'!N2/100))</f>
        <v>156.25</v>
      </c>
      <c r="E8" s="107">
        <v>0</v>
      </c>
      <c r="F8" s="108">
        <v>0</v>
      </c>
      <c r="G8" s="109">
        <v>0</v>
      </c>
      <c r="H8" s="110">
        <f>IF(($C$5&lt;'TAS Apr 2016'!P2),(0),('TAS Bills April 2016'!$C$5-'TAS Apr 2016'!P2)*'TAS Apr 2016'!Q2/100)</f>
        <v>1032.3</v>
      </c>
      <c r="I8" s="111">
        <f>SUM(C8:H8)</f>
        <v>1268.4388999999999</v>
      </c>
      <c r="J8" s="112">
        <f>I8*4</f>
        <v>5073.7555999999995</v>
      </c>
      <c r="K8" s="106">
        <v>0</v>
      </c>
      <c r="L8" s="106">
        <f>'TAS Apr 2016'!AZ2</f>
        <v>0</v>
      </c>
      <c r="M8" s="106">
        <f>'TAS Apr 2016'!BA2</f>
        <v>0</v>
      </c>
      <c r="N8" s="106">
        <f>'TAS Apr 2016'!BB2</f>
        <v>0</v>
      </c>
      <c r="O8" s="112">
        <f>J8</f>
        <v>5073.7555999999995</v>
      </c>
      <c r="P8" s="112">
        <f>O8-(O8*M8/100)</f>
        <v>5073.7555999999995</v>
      </c>
      <c r="Q8" s="112">
        <f>O8*1.1</f>
        <v>5581.1311599999999</v>
      </c>
      <c r="R8" s="112">
        <f>P8*1.1</f>
        <v>5581.1311599999999</v>
      </c>
      <c r="S8" s="134">
        <f>'TAS Apr 2016'!BI2</f>
        <v>0</v>
      </c>
      <c r="T8" s="135" t="str">
        <f>'TAS Apr 2016'!BJ2</f>
        <v>n</v>
      </c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ht="15" thickBot="1" x14ac:dyDescent="0.2">
      <c r="A9" s="136" t="str">
        <f>'TAS Apr 2016'!K3</f>
        <v>ERM Power</v>
      </c>
      <c r="B9" s="143" t="str">
        <f>'TAS Apr 2016'!L3</f>
        <v>Adjustable</v>
      </c>
      <c r="C9" s="116">
        <f>91*'TAS Apr 2016'!M3/100</f>
        <v>80.08</v>
      </c>
      <c r="D9" s="116">
        <f>C5*'TAS Apr 2016'!N3/100</f>
        <v>1182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1262.08</v>
      </c>
      <c r="J9" s="121">
        <f t="shared" ref="J9" si="1">I9*4</f>
        <v>5048.32</v>
      </c>
      <c r="K9" s="115">
        <v>0</v>
      </c>
      <c r="L9" s="115">
        <f>'TAS Apr 2016'!AZ3</f>
        <v>0</v>
      </c>
      <c r="M9" s="115">
        <f>'TAS Apr 2016'!BA3</f>
        <v>0</v>
      </c>
      <c r="N9" s="115">
        <f>'TAS Apr 2016'!BB3</f>
        <v>0</v>
      </c>
      <c r="O9" s="121">
        <f>J9-((I9-C9)*L9/100)*4</f>
        <v>5048.32</v>
      </c>
      <c r="P9" s="121">
        <f>O9-(O9*M9/100)</f>
        <v>5048.32</v>
      </c>
      <c r="Q9" s="121">
        <f>O9*1.1</f>
        <v>5553.152</v>
      </c>
      <c r="R9" s="121">
        <f>P9*1.1</f>
        <v>5553.152</v>
      </c>
      <c r="S9" s="137">
        <f>'TAS Apr 2016'!BI3</f>
        <v>0</v>
      </c>
      <c r="T9" s="138" t="str">
        <f>'TAS Apr 2016'!BJ3</f>
        <v>n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</row>
    <row r="10" spans="1:49" ht="14" x14ac:dyDescent="0.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</row>
    <row r="11" spans="1:49" ht="15" thickBot="1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</row>
    <row r="13" spans="1:49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</row>
    <row r="14" spans="1:49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</row>
    <row r="16" spans="1:49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49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30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31" t="s">
        <v>95</v>
      </c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</row>
    <row r="18" spans="1:49" ht="14" x14ac:dyDescent="0.15">
      <c r="A18" s="133" t="str">
        <f>'TAS Apr 2016'!K4</f>
        <v>Aurora Energy</v>
      </c>
      <c r="B18" s="142" t="str">
        <f>'TAS Apr 2016'!L4</f>
        <v>Regulated offer</v>
      </c>
      <c r="C18" s="107">
        <f>91*'TAS Apr 2016'!M4/100</f>
        <v>98.034300000000002</v>
      </c>
      <c r="D18" s="107">
        <f>IF(($C$13*$C$14)&gt;='TAS Apr 2016'!P4,('TAS Apr 2016'!P4*'TAS Apr 2016'!N4/100),(('TAS Bills April 2016'!$C$13*'TAS Bills April 2016'!$C$14)*'TAS Apr 2016'!N4/100))</f>
        <v>156.25</v>
      </c>
      <c r="E18" s="107">
        <v>0</v>
      </c>
      <c r="F18" s="108">
        <v>0</v>
      </c>
      <c r="G18" s="109">
        <f>IF($C$13*$C$14&lt;'TAS Apr 2016'!P4,(0),((('TAS Bills April 2016'!$C$13*'TAS Bills April 2016'!$C$14)-('TAS Apr 2016'!P4))*'TAS Apr 2016'!Q4/100))</f>
        <v>688.2</v>
      </c>
      <c r="H18" s="107">
        <f>($C$13*$C$15)*'TAS Apr 2016'!AF4/100</f>
        <v>157.05000000000001</v>
      </c>
      <c r="I18" s="111">
        <f>SUM(C18:H18)</f>
        <v>1099.5343</v>
      </c>
      <c r="J18" s="112">
        <f>I18*4</f>
        <v>4398.1372000000001</v>
      </c>
      <c r="K18" s="106">
        <v>0</v>
      </c>
      <c r="L18" s="106">
        <f>'TAS Apr 2016'!AZ4</f>
        <v>0</v>
      </c>
      <c r="M18" s="106">
        <f>'TAS Apr 2016'!BA4</f>
        <v>0</v>
      </c>
      <c r="N18" s="106">
        <f>'TAS Apr 2016'!BB4</f>
        <v>0</v>
      </c>
      <c r="O18" s="112">
        <f>J18</f>
        <v>4398.1372000000001</v>
      </c>
      <c r="P18" s="112">
        <f>O18-(O18*M18/100)</f>
        <v>4398.1372000000001</v>
      </c>
      <c r="Q18" s="112">
        <f>O18*1.1</f>
        <v>4837.9509200000002</v>
      </c>
      <c r="R18" s="112">
        <f>P18*1.1</f>
        <v>4837.9509200000002</v>
      </c>
      <c r="S18" s="134">
        <f>'TAS Apr 2016'!BI4</f>
        <v>0</v>
      </c>
      <c r="T18" s="135" t="str">
        <f>'TAS Apr 2016'!BJ4</f>
        <v>n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</row>
    <row r="19" spans="1:49" ht="15" thickBot="1" x14ac:dyDescent="0.2">
      <c r="A19" s="136" t="str">
        <f>'TAS Apr 2016'!K5</f>
        <v>ERM Power</v>
      </c>
      <c r="B19" s="143" t="str">
        <f>'TAS Apr 2016'!L5</f>
        <v>Adjustable</v>
      </c>
      <c r="C19" s="116">
        <f>91*'TAS Apr 2016'!M5/100</f>
        <v>107.38</v>
      </c>
      <c r="D19" s="116">
        <f>(C13*C14)*'TAS Apr 2016'!N5/100</f>
        <v>827.4</v>
      </c>
      <c r="E19" s="116">
        <v>0</v>
      </c>
      <c r="F19" s="117">
        <v>0</v>
      </c>
      <c r="G19" s="118">
        <v>0</v>
      </c>
      <c r="H19" s="116">
        <f>($C$13*$C$15)*'TAS Apr 2016'!AF5/100</f>
        <v>161.25</v>
      </c>
      <c r="I19" s="120">
        <f>SUM(C19:H19)</f>
        <v>1096.03</v>
      </c>
      <c r="J19" s="121">
        <f t="shared" ref="J19" si="2">I19*4</f>
        <v>4384.12</v>
      </c>
      <c r="K19" s="115">
        <v>0</v>
      </c>
      <c r="L19" s="115">
        <f>'TAS Apr 2016'!AZ5</f>
        <v>0</v>
      </c>
      <c r="M19" s="115">
        <f>'TAS Apr 2016'!BA5</f>
        <v>0</v>
      </c>
      <c r="N19" s="115">
        <f>'TAS Apr 2016'!BB5</f>
        <v>0</v>
      </c>
      <c r="O19" s="121">
        <f>J19-((I19-C19)*L19/100)*4</f>
        <v>4384.12</v>
      </c>
      <c r="P19" s="121">
        <f>O19-(O19*M19/100)</f>
        <v>4384.12</v>
      </c>
      <c r="Q19" s="121">
        <f>O19*1.1</f>
        <v>4822.5320000000002</v>
      </c>
      <c r="R19" s="121">
        <f>P19*1.1</f>
        <v>4822.5320000000002</v>
      </c>
      <c r="S19" s="137">
        <f>'TAS Apr 2016'!BI5</f>
        <v>0</v>
      </c>
      <c r="T19" s="138" t="str">
        <f>'TAS Apr 2016'!BJ5</f>
        <v>n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</row>
    <row r="20" spans="1:49" ht="14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</row>
    <row r="21" spans="1:49" ht="15" thickBo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0"/>
      <c r="P21" s="47"/>
      <c r="Q21" s="50"/>
      <c r="R21" s="50"/>
      <c r="S21" s="50"/>
      <c r="T21" s="47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</row>
    <row r="22" spans="1:49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</row>
    <row r="23" spans="1:49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</row>
    <row r="24" spans="1:49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49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49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</row>
    <row r="27" spans="1:49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</row>
    <row r="28" spans="1:49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31" t="s">
        <v>160</v>
      </c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</row>
    <row r="29" spans="1:49" ht="14" x14ac:dyDescent="0.15">
      <c r="A29" s="133" t="str">
        <f>'TAS Apr 2016'!K6</f>
        <v>Aurora Energy</v>
      </c>
      <c r="B29" s="142" t="str">
        <f>'TAS Apr 2016'!L6</f>
        <v>Regulated offer</v>
      </c>
      <c r="C29" s="107">
        <f>91*'TAS Apr 2016'!M6/100</f>
        <v>78.587600000000009</v>
      </c>
      <c r="D29" s="139">
        <f>($C$23*$C$24)*'TAS Apr 2016'!N6/100</f>
        <v>368.25</v>
      </c>
      <c r="E29" s="107">
        <v>0</v>
      </c>
      <c r="F29" s="107">
        <v>0</v>
      </c>
      <c r="G29" s="107">
        <f>($C$23*$C$25)*'TAS Apr 2016'!AI6/100</f>
        <v>340</v>
      </c>
      <c r="H29" s="107">
        <f>($C$23*$C$26)*'TAS Apr 2016'!W6/100</f>
        <v>135</v>
      </c>
      <c r="I29" s="111">
        <f>SUM(C29:H29)</f>
        <v>921.83760000000007</v>
      </c>
      <c r="J29" s="112">
        <f>I29*4</f>
        <v>3687.3504000000003</v>
      </c>
      <c r="K29" s="106">
        <v>0</v>
      </c>
      <c r="L29" s="106">
        <f>'TAS Apr 2016'!AZ6</f>
        <v>0</v>
      </c>
      <c r="M29" s="106">
        <f>'TAS Apr 2016'!BA6</f>
        <v>0</v>
      </c>
      <c r="N29" s="106">
        <f>'TAS Apr 2016'!BB6</f>
        <v>0</v>
      </c>
      <c r="O29" s="112">
        <f>J29</f>
        <v>3687.3504000000003</v>
      </c>
      <c r="P29" s="112">
        <f>O29-(O29*M29/100)</f>
        <v>3687.3504000000003</v>
      </c>
      <c r="Q29" s="112">
        <f>O29*1.1</f>
        <v>4056.0854400000007</v>
      </c>
      <c r="R29" s="112">
        <f>P29*1.1</f>
        <v>4056.0854400000007</v>
      </c>
      <c r="S29" s="134">
        <f>'TAS Apr 2016'!BI6</f>
        <v>0</v>
      </c>
      <c r="T29" s="135" t="str">
        <f>'TAS Apr 2016'!BJ6</f>
        <v>n</v>
      </c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5" thickBot="1" x14ac:dyDescent="0.2">
      <c r="A30" s="136" t="str">
        <f>'TAS Apr 2016'!K7</f>
        <v>ERM Power</v>
      </c>
      <c r="B30" s="143" t="str">
        <f>'TAS Apr 2016'!L7</f>
        <v>Adjustable</v>
      </c>
      <c r="C30" s="116">
        <f>91*'TAS Apr 2016'!M7/100</f>
        <v>80.989999999999995</v>
      </c>
      <c r="D30" s="140">
        <f>($C$23*$C$24)*'TAS Apr 2016'!N7/100</f>
        <v>382.5</v>
      </c>
      <c r="E30" s="116">
        <v>0</v>
      </c>
      <c r="F30" s="116">
        <v>0</v>
      </c>
      <c r="G30" s="116">
        <f>($C$23*$C$25)*'TAS Apr 2016'!AI7/100</f>
        <v>317</v>
      </c>
      <c r="H30" s="116">
        <f>($C$23*$C$26)*'TAS Apr 2016'!W7/100</f>
        <v>109.8</v>
      </c>
      <c r="I30" s="120">
        <f>SUM(C30:H30)</f>
        <v>890.29</v>
      </c>
      <c r="J30" s="121">
        <f t="shared" ref="J30" si="3">I30*4</f>
        <v>3561.16</v>
      </c>
      <c r="K30" s="115">
        <v>0</v>
      </c>
      <c r="L30" s="115">
        <f>'TAS Apr 2016'!AZ7</f>
        <v>0</v>
      </c>
      <c r="M30" s="115">
        <f>'TAS Apr 2016'!BA7</f>
        <v>0</v>
      </c>
      <c r="N30" s="115">
        <f>'TAS Apr 2016'!BB7</f>
        <v>0</v>
      </c>
      <c r="O30" s="121">
        <f>J30-((I30-C30)*L30/100)*4</f>
        <v>3561.16</v>
      </c>
      <c r="P30" s="121">
        <f>O30-(O30*M30/100)</f>
        <v>3561.16</v>
      </c>
      <c r="Q30" s="121">
        <f>O30*1.1</f>
        <v>3917.2760000000003</v>
      </c>
      <c r="R30" s="121">
        <f>P30*1.1</f>
        <v>3917.2760000000003</v>
      </c>
      <c r="S30" s="137">
        <f>'TAS Apr 2016'!BI7</f>
        <v>0</v>
      </c>
      <c r="T30" s="138" t="str">
        <f>'TAS Apr 2016'!BJ7</f>
        <v>n</v>
      </c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</row>
    <row r="31" spans="1:49" ht="14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</row>
    <row r="32" spans="1:49" ht="14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</row>
    <row r="33" spans="1:49" ht="14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</row>
    <row r="34" spans="1:49" ht="14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</row>
    <row r="35" spans="1:49" ht="14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</row>
    <row r="36" spans="1:49" ht="14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</row>
    <row r="37" spans="1:49" ht="14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</row>
    <row r="38" spans="1:49" ht="14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</row>
    <row r="39" spans="1:49" ht="14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</row>
    <row r="40" spans="1:49" ht="14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</row>
    <row r="41" spans="1:49" ht="14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</row>
    <row r="42" spans="1:49" ht="14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</row>
    <row r="43" spans="1:49" ht="14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</row>
    <row r="44" spans="1:49" ht="14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ht="14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49" ht="14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  <row r="47" spans="1:49" ht="14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</row>
    <row r="48" spans="1:49" ht="14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</row>
    <row r="49" spans="1:49" ht="14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</row>
    <row r="50" spans="1:49" ht="14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</row>
    <row r="51" spans="1:49" ht="14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</row>
    <row r="52" spans="1:49" ht="14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</row>
    <row r="53" spans="1:49" ht="14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</row>
    <row r="54" spans="1:49" ht="14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</row>
    <row r="55" spans="1:49" ht="14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49" ht="14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</row>
    <row r="57" spans="1:49" ht="14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</row>
    <row r="58" spans="1:49" ht="14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</row>
    <row r="59" spans="1:49" ht="14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</row>
    <row r="60" spans="1:49" ht="14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</row>
    <row r="61" spans="1:49" ht="1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</row>
    <row r="62" spans="1:49" ht="14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</row>
    <row r="63" spans="1:49" ht="14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</row>
    <row r="64" spans="1:49" ht="14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</row>
    <row r="65" spans="1:49" ht="14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</row>
    <row r="66" spans="1:49" ht="14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</row>
    <row r="67" spans="1:49" ht="14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</row>
    <row r="68" spans="1:49" ht="14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</row>
    <row r="69" spans="1:49" ht="14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</row>
    <row r="70" spans="1:49" ht="14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1:49" ht="14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</row>
    <row r="72" spans="1:49" ht="14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</row>
    <row r="73" spans="1:49" ht="14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</row>
    <row r="74" spans="1:49" ht="14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</row>
  </sheetData>
  <sheetProtection algorithmName="SHA-512" hashValue="zMzQB5ARP8GU0Zi9A8JW3SVXMCgIM3RxthTjBNbNwxQbuQ71JQ7cJ0MeITq2+cTpmAAEDhnk/KJujlYiXjsZRA==" saltValue="39tusWoEruwBcmaaeSBnWA==" spinCount="100000" sheet="1" objects="1" scenarios="1"/>
  <phoneticPr fontId="2" type="noConversion"/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2E29-FE79-0246-98DB-8D8CB0E5DBE1}">
  <sheetPr codeName="Sheet13"/>
  <dimension ref="A1:BT4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6" t="s">
        <v>12</v>
      </c>
      <c r="BQ1" s="6" t="s">
        <v>60</v>
      </c>
      <c r="BR1" s="8" t="s">
        <v>53</v>
      </c>
      <c r="BS1" s="8" t="s">
        <v>8</v>
      </c>
      <c r="BT1" s="6" t="s">
        <v>11</v>
      </c>
    </row>
    <row r="2" spans="1:72" x14ac:dyDescent="0.15">
      <c r="A2" s="45">
        <v>1930</v>
      </c>
      <c r="B2" s="31">
        <v>41927</v>
      </c>
      <c r="C2" s="1" t="s">
        <v>186</v>
      </c>
      <c r="D2" s="2" t="s">
        <v>201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T2" s="4"/>
      <c r="AU2" s="4" t="s">
        <v>193</v>
      </c>
      <c r="AV2" s="4">
        <v>8.5410000000000004</v>
      </c>
      <c r="AW2" s="4" t="s">
        <v>194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189</v>
      </c>
      <c r="BK2" s="4"/>
      <c r="BL2" s="4" t="s">
        <v>188</v>
      </c>
      <c r="BM2" s="4"/>
      <c r="BN2" s="4"/>
      <c r="BO2" s="4"/>
      <c r="BP2" s="2" t="s">
        <v>172</v>
      </c>
      <c r="BQ2" s="46" t="s">
        <v>173</v>
      </c>
      <c r="BR2" s="4">
        <v>18.25</v>
      </c>
      <c r="BS2" s="4" t="s">
        <v>189</v>
      </c>
      <c r="BT2" s="2"/>
    </row>
    <row r="3" spans="1:72" x14ac:dyDescent="0.15">
      <c r="A3" s="45">
        <v>1928</v>
      </c>
      <c r="B3" s="31">
        <v>41927</v>
      </c>
      <c r="C3" s="1" t="s">
        <v>186</v>
      </c>
      <c r="D3" s="2" t="s">
        <v>201</v>
      </c>
      <c r="E3" s="2"/>
      <c r="F3" s="2" t="s">
        <v>195</v>
      </c>
      <c r="G3" s="3">
        <v>41820</v>
      </c>
      <c r="H3" s="4" t="s">
        <v>188</v>
      </c>
      <c r="I3" s="4" t="s">
        <v>189</v>
      </c>
      <c r="J3" s="4"/>
      <c r="K3" s="2" t="s">
        <v>190</v>
      </c>
      <c r="L3" s="2" t="s">
        <v>191</v>
      </c>
      <c r="M3" s="2">
        <v>109.27200000000001</v>
      </c>
      <c r="N3" s="2">
        <v>30.785</v>
      </c>
      <c r="O3" s="2" t="s">
        <v>130</v>
      </c>
      <c r="P3" s="2">
        <v>500</v>
      </c>
      <c r="Q3" s="2">
        <v>22.774000000000001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14.583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196</v>
      </c>
      <c r="AR3" s="4" t="s">
        <v>189</v>
      </c>
      <c r="AT3" s="4"/>
      <c r="AU3" s="4" t="s">
        <v>193</v>
      </c>
      <c r="AV3" s="4">
        <v>8.5410000000000004</v>
      </c>
      <c r="AW3" s="4" t="s">
        <v>194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189</v>
      </c>
      <c r="BK3" s="4"/>
      <c r="BL3" s="4" t="s">
        <v>188</v>
      </c>
      <c r="BM3" s="4"/>
      <c r="BN3" s="4"/>
      <c r="BO3" s="4"/>
      <c r="BP3" s="2" t="s">
        <v>172</v>
      </c>
      <c r="BQ3" s="46" t="s">
        <v>173</v>
      </c>
      <c r="BR3" s="4">
        <v>18.25</v>
      </c>
      <c r="BS3" s="4" t="s">
        <v>189</v>
      </c>
      <c r="BT3" s="2"/>
    </row>
    <row r="4" spans="1:72" x14ac:dyDescent="0.15">
      <c r="A4" s="45">
        <v>1931</v>
      </c>
      <c r="B4" s="31">
        <v>41927</v>
      </c>
      <c r="C4" s="1" t="s">
        <v>186</v>
      </c>
      <c r="D4" s="2" t="s">
        <v>201</v>
      </c>
      <c r="E4" s="2"/>
      <c r="F4" s="2" t="s">
        <v>197</v>
      </c>
      <c r="G4" s="3">
        <v>41820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100.37</v>
      </c>
      <c r="N4" s="2">
        <v>25.332999999999998</v>
      </c>
      <c r="O4" s="2"/>
      <c r="P4" s="2"/>
      <c r="Q4" s="2"/>
      <c r="R4" s="2"/>
      <c r="S4" s="2"/>
      <c r="T4" s="2"/>
      <c r="U4" s="2"/>
      <c r="V4" s="2"/>
      <c r="W4" s="2">
        <v>10.71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18.309999999999999</v>
      </c>
      <c r="AJ4" s="2"/>
      <c r="AK4" s="2"/>
      <c r="AL4" s="2"/>
      <c r="AM4" s="2"/>
      <c r="AN4" s="2"/>
      <c r="AO4" s="2"/>
      <c r="AP4" s="2"/>
      <c r="AQ4" s="2" t="s">
        <v>198</v>
      </c>
      <c r="AR4" s="4" t="s">
        <v>189</v>
      </c>
      <c r="AT4" s="4"/>
      <c r="AU4" s="4" t="s">
        <v>193</v>
      </c>
      <c r="AV4" s="4">
        <v>8.5410000000000004</v>
      </c>
      <c r="AW4" s="4" t="s">
        <v>194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189</v>
      </c>
      <c r="BK4" s="4"/>
      <c r="BL4" s="4" t="s">
        <v>189</v>
      </c>
      <c r="BM4" s="4"/>
      <c r="BN4" s="4"/>
      <c r="BO4" s="4"/>
      <c r="BP4" s="2" t="s">
        <v>172</v>
      </c>
      <c r="BQ4" s="46" t="s">
        <v>173</v>
      </c>
      <c r="BR4" s="4">
        <v>18.25</v>
      </c>
      <c r="BS4" s="4" t="s">
        <v>189</v>
      </c>
      <c r="BT4" s="2"/>
    </row>
  </sheetData>
  <sheetProtection algorithmName="SHA-512" hashValue="Euts+aCr+oZzfapBXXrmyfeQ2FcQ+oj9RJVyxGNiXKBR4YTbQXvyYU5+O2Vdtr4aXjS8QWYZ2L3bd8Y5RzfUbA==" saltValue="3zfFkSX7PNeSrtM7KAh8DA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EB9-7FD9-3D45-B211-C14D2C8F59F5}">
  <sheetPr codeName="Sheet14"/>
  <dimension ref="A1:BT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6" t="s">
        <v>12</v>
      </c>
      <c r="BQ1" s="6" t="s">
        <v>60</v>
      </c>
      <c r="BR1" s="8" t="s">
        <v>53</v>
      </c>
      <c r="BS1" s="8" t="s">
        <v>8</v>
      </c>
      <c r="BT1" s="6" t="s">
        <v>11</v>
      </c>
    </row>
    <row r="2" spans="1:72" x14ac:dyDescent="0.15">
      <c r="A2" s="45">
        <v>1930</v>
      </c>
      <c r="B2" s="31">
        <v>41741</v>
      </c>
      <c r="C2" s="1" t="s">
        <v>186</v>
      </c>
      <c r="D2" s="2" t="s">
        <v>179</v>
      </c>
      <c r="E2" s="2"/>
      <c r="F2" s="2" t="s">
        <v>187</v>
      </c>
      <c r="G2" s="3">
        <v>41458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90.801000000000002</v>
      </c>
      <c r="N2" s="2">
        <v>30.167000000000002</v>
      </c>
      <c r="O2" s="2" t="s">
        <v>130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S2" s="4"/>
      <c r="AT2" s="4"/>
      <c r="AU2" s="4" t="s">
        <v>193</v>
      </c>
      <c r="AV2" s="4">
        <v>8.9290000000000003</v>
      </c>
      <c r="AW2" s="4" t="s">
        <v>194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189</v>
      </c>
      <c r="BK2" s="4"/>
      <c r="BL2" s="4" t="s">
        <v>188</v>
      </c>
      <c r="BM2" s="4"/>
      <c r="BN2" s="4"/>
      <c r="BO2" s="4"/>
      <c r="BP2" s="2" t="s">
        <v>172</v>
      </c>
      <c r="BQ2" s="46" t="s">
        <v>173</v>
      </c>
      <c r="BR2" s="4">
        <v>18.25</v>
      </c>
      <c r="BS2" s="4" t="s">
        <v>189</v>
      </c>
      <c r="BT2" s="2"/>
    </row>
    <row r="3" spans="1:72" x14ac:dyDescent="0.15">
      <c r="A3" s="45">
        <v>711</v>
      </c>
      <c r="B3" s="31">
        <v>41741</v>
      </c>
      <c r="C3" s="1" t="s">
        <v>186</v>
      </c>
      <c r="D3" s="2" t="s">
        <v>179</v>
      </c>
      <c r="E3" s="2"/>
      <c r="F3" s="2" t="s">
        <v>187</v>
      </c>
      <c r="G3" s="3">
        <v>41678</v>
      </c>
      <c r="H3" s="4" t="s">
        <v>188</v>
      </c>
      <c r="I3" s="4" t="s">
        <v>189</v>
      </c>
      <c r="J3" s="4"/>
      <c r="K3" s="2" t="s">
        <v>199</v>
      </c>
      <c r="L3" s="2" t="s">
        <v>200</v>
      </c>
      <c r="M3" s="2">
        <v>108</v>
      </c>
      <c r="N3" s="2">
        <v>23.24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192</v>
      </c>
      <c r="AR3" s="4" t="s">
        <v>189</v>
      </c>
      <c r="AS3" s="4"/>
      <c r="AT3" s="4"/>
      <c r="AU3" s="4" t="s">
        <v>193</v>
      </c>
      <c r="AV3" s="4">
        <v>8.9290000000000003</v>
      </c>
      <c r="AW3" s="4" t="s">
        <v>189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189</v>
      </c>
      <c r="BK3" s="4"/>
      <c r="BL3" s="4" t="s">
        <v>189</v>
      </c>
      <c r="BM3" s="4"/>
      <c r="BN3" s="4"/>
      <c r="BO3" s="4"/>
      <c r="BP3" s="2"/>
      <c r="BQ3" s="2"/>
      <c r="BR3" s="4"/>
      <c r="BS3" s="4" t="s">
        <v>189</v>
      </c>
      <c r="BT3" s="2"/>
    </row>
    <row r="4" spans="1:72" x14ac:dyDescent="0.15">
      <c r="A4" s="45">
        <v>1928</v>
      </c>
      <c r="B4" s="31">
        <v>41741</v>
      </c>
      <c r="C4" s="1" t="s">
        <v>186</v>
      </c>
      <c r="D4" s="2" t="s">
        <v>179</v>
      </c>
      <c r="E4" s="2"/>
      <c r="F4" s="2" t="s">
        <v>195</v>
      </c>
      <c r="G4" s="3">
        <v>41458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107.08</v>
      </c>
      <c r="N4" s="2">
        <v>30.167000000000002</v>
      </c>
      <c r="O4" s="2" t="s">
        <v>130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S4" s="4"/>
      <c r="AT4" s="4"/>
      <c r="AU4" s="4" t="s">
        <v>193</v>
      </c>
      <c r="AV4" s="4">
        <v>8.9290000000000003</v>
      </c>
      <c r="AW4" s="4" t="s">
        <v>194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189</v>
      </c>
      <c r="BK4" s="4"/>
      <c r="BL4" s="4" t="s">
        <v>188</v>
      </c>
      <c r="BM4" s="4"/>
      <c r="BN4" s="4"/>
      <c r="BO4" s="4"/>
      <c r="BP4" s="2" t="s">
        <v>172</v>
      </c>
      <c r="BQ4" s="46" t="s">
        <v>173</v>
      </c>
      <c r="BR4" s="4">
        <v>18.25</v>
      </c>
      <c r="BS4" s="4" t="s">
        <v>189</v>
      </c>
      <c r="BT4" s="2"/>
    </row>
    <row r="5" spans="1:72" x14ac:dyDescent="0.15">
      <c r="A5" s="45">
        <v>710</v>
      </c>
      <c r="B5" s="31">
        <v>41741</v>
      </c>
      <c r="C5" s="1" t="s">
        <v>186</v>
      </c>
      <c r="D5" s="2" t="s">
        <v>179</v>
      </c>
      <c r="E5" s="2"/>
      <c r="F5" s="2" t="s">
        <v>195</v>
      </c>
      <c r="G5" s="3">
        <v>41678</v>
      </c>
      <c r="H5" s="4" t="s">
        <v>188</v>
      </c>
      <c r="I5" s="4" t="s">
        <v>189</v>
      </c>
      <c r="J5" s="4"/>
      <c r="K5" s="2" t="s">
        <v>199</v>
      </c>
      <c r="L5" s="2" t="s">
        <v>200</v>
      </c>
      <c r="M5" s="2">
        <v>179</v>
      </c>
      <c r="N5" s="2">
        <v>23.24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15.33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196</v>
      </c>
      <c r="AR5" s="4" t="s">
        <v>189</v>
      </c>
      <c r="AS5" s="4"/>
      <c r="AT5" s="4"/>
      <c r="AU5" s="4" t="s">
        <v>193</v>
      </c>
      <c r="AV5" s="4">
        <v>8.9290000000000003</v>
      </c>
      <c r="AW5" s="4" t="s">
        <v>189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189</v>
      </c>
      <c r="BK5" s="4"/>
      <c r="BL5" s="4" t="s">
        <v>189</v>
      </c>
      <c r="BM5" s="4"/>
      <c r="BN5" s="4"/>
      <c r="BO5" s="4"/>
      <c r="BP5" s="2"/>
      <c r="BQ5" s="2"/>
      <c r="BR5" s="4"/>
      <c r="BS5" s="4" t="s">
        <v>189</v>
      </c>
      <c r="BT5" s="2"/>
    </row>
    <row r="6" spans="1:72" x14ac:dyDescent="0.15">
      <c r="A6" s="45">
        <v>1931</v>
      </c>
      <c r="B6" s="31">
        <v>41741</v>
      </c>
      <c r="C6" s="1" t="s">
        <v>186</v>
      </c>
      <c r="D6" s="2" t="s">
        <v>179</v>
      </c>
      <c r="E6" s="2"/>
      <c r="F6" s="2" t="s">
        <v>197</v>
      </c>
      <c r="G6" s="3">
        <v>41458</v>
      </c>
      <c r="H6" s="4" t="s">
        <v>188</v>
      </c>
      <c r="I6" s="4" t="s">
        <v>189</v>
      </c>
      <c r="J6" s="4"/>
      <c r="K6" s="2" t="s">
        <v>190</v>
      </c>
      <c r="L6" s="2" t="s">
        <v>191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2"/>
      <c r="AN6" s="2"/>
      <c r="AO6" s="2"/>
      <c r="AP6" s="2"/>
      <c r="AQ6" s="2" t="s">
        <v>198</v>
      </c>
      <c r="AR6" s="4" t="s">
        <v>189</v>
      </c>
      <c r="AS6" s="4"/>
      <c r="AT6" s="4"/>
      <c r="AU6" s="4" t="s">
        <v>193</v>
      </c>
      <c r="AV6" s="4">
        <v>8.9290000000000003</v>
      </c>
      <c r="AW6" s="4" t="s">
        <v>194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189</v>
      </c>
      <c r="BK6" s="4"/>
      <c r="BL6" s="4" t="s">
        <v>189</v>
      </c>
      <c r="BM6" s="4"/>
      <c r="BN6" s="4"/>
      <c r="BO6" s="4"/>
      <c r="BP6" s="2"/>
      <c r="BQ6" s="2"/>
      <c r="BR6" s="4"/>
      <c r="BS6" s="4" t="s">
        <v>189</v>
      </c>
      <c r="BT6" s="2"/>
    </row>
    <row r="7" spans="1:72" x14ac:dyDescent="0.15">
      <c r="A7" s="45">
        <v>712</v>
      </c>
      <c r="B7" s="31">
        <v>41741</v>
      </c>
      <c r="C7" s="1" t="s">
        <v>186</v>
      </c>
      <c r="D7" s="2" t="s">
        <v>179</v>
      </c>
      <c r="E7" s="2"/>
      <c r="F7" s="2" t="s">
        <v>197</v>
      </c>
      <c r="G7" s="3">
        <v>41678</v>
      </c>
      <c r="H7" s="4" t="s">
        <v>188</v>
      </c>
      <c r="I7" s="4" t="s">
        <v>189</v>
      </c>
      <c r="J7" s="4"/>
      <c r="K7" s="2" t="s">
        <v>199</v>
      </c>
      <c r="L7" s="2" t="s">
        <v>200</v>
      </c>
      <c r="M7" s="2">
        <v>117</v>
      </c>
      <c r="N7" s="2">
        <v>25.19</v>
      </c>
      <c r="O7" s="2"/>
      <c r="P7" s="2"/>
      <c r="Q7" s="2"/>
      <c r="R7" s="2"/>
      <c r="S7" s="2"/>
      <c r="T7" s="2"/>
      <c r="U7" s="2"/>
      <c r="V7" s="2"/>
      <c r="W7" s="2">
        <v>13.1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18.760000000000002</v>
      </c>
      <c r="AJ7" s="2"/>
      <c r="AK7" s="2"/>
      <c r="AL7" s="2"/>
      <c r="AM7" s="2"/>
      <c r="AN7" s="2"/>
      <c r="AO7" s="2"/>
      <c r="AP7" s="2"/>
      <c r="AQ7" s="2" t="s">
        <v>198</v>
      </c>
      <c r="AR7" s="4" t="s">
        <v>189</v>
      </c>
      <c r="AS7" s="4"/>
      <c r="AT7" s="4"/>
      <c r="AU7" s="4" t="s">
        <v>193</v>
      </c>
      <c r="AV7" s="4">
        <v>8.9290000000000003</v>
      </c>
      <c r="AW7" s="4" t="s">
        <v>189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189</v>
      </c>
      <c r="BK7" s="4"/>
      <c r="BL7" s="4" t="s">
        <v>189</v>
      </c>
      <c r="BM7" s="4"/>
      <c r="BN7" s="4"/>
      <c r="BO7" s="4"/>
      <c r="BP7" s="2"/>
      <c r="BQ7" s="2"/>
      <c r="BR7" s="4"/>
      <c r="BS7" s="4" t="s">
        <v>189</v>
      </c>
      <c r="BT7" s="2"/>
    </row>
  </sheetData>
  <sheetProtection algorithmName="SHA-512" hashValue="wyLhpsViF3DHnW/HUAshoJODcX/zwBzjIx3dWFBg6EN2qqXIRBVdW3uMqZ2dZgYqKjCTQD8T8+NofPHmgc+Yow==" saltValue="fZ30Swyy+RwTIxRReoyKgQ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R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45">
        <v>1930</v>
      </c>
      <c r="B2" s="3">
        <v>41554</v>
      </c>
      <c r="C2" s="1" t="s">
        <v>162</v>
      </c>
      <c r="D2" s="2" t="s">
        <v>179</v>
      </c>
      <c r="E2" s="2"/>
      <c r="F2" s="2" t="s">
        <v>177</v>
      </c>
      <c r="G2" s="3">
        <v>41458</v>
      </c>
      <c r="H2" s="4" t="s">
        <v>164</v>
      </c>
      <c r="I2" s="4" t="s">
        <v>165</v>
      </c>
      <c r="J2" s="4"/>
      <c r="K2" s="2" t="s">
        <v>166</v>
      </c>
      <c r="L2" s="2" t="s">
        <v>167</v>
      </c>
      <c r="M2" s="2">
        <v>90.801000000000002</v>
      </c>
      <c r="N2" s="2">
        <v>30.167000000000002</v>
      </c>
      <c r="O2" s="2" t="s">
        <v>168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178</v>
      </c>
      <c r="AR2" s="4" t="s">
        <v>165</v>
      </c>
      <c r="AS2" s="4"/>
      <c r="AT2" s="4"/>
      <c r="AU2" s="4" t="s">
        <v>176</v>
      </c>
      <c r="AV2" s="4">
        <v>8.9290000000000003</v>
      </c>
      <c r="AW2" s="4" t="s">
        <v>171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165</v>
      </c>
      <c r="BK2" s="4"/>
      <c r="BL2" s="4" t="s">
        <v>164</v>
      </c>
      <c r="BM2" s="4"/>
      <c r="BN2" s="2" t="s">
        <v>172</v>
      </c>
      <c r="BO2" s="46" t="s">
        <v>173</v>
      </c>
      <c r="BP2" s="4">
        <v>18.25</v>
      </c>
      <c r="BQ2" s="4" t="s">
        <v>165</v>
      </c>
      <c r="BR2" s="2"/>
    </row>
    <row r="3" spans="1:70" x14ac:dyDescent="0.15">
      <c r="A3" s="45">
        <v>711</v>
      </c>
      <c r="B3" s="3">
        <v>41554</v>
      </c>
      <c r="C3" s="1" t="s">
        <v>162</v>
      </c>
      <c r="D3" s="2" t="s">
        <v>180</v>
      </c>
      <c r="E3" s="2"/>
      <c r="F3" s="2" t="s">
        <v>181</v>
      </c>
      <c r="G3" s="3">
        <v>41455</v>
      </c>
      <c r="H3" s="4" t="s">
        <v>164</v>
      </c>
      <c r="I3" s="4" t="s">
        <v>165</v>
      </c>
      <c r="J3" s="4"/>
      <c r="K3" s="2" t="s">
        <v>182</v>
      </c>
      <c r="L3" s="2" t="s">
        <v>183</v>
      </c>
      <c r="M3" s="2">
        <v>99</v>
      </c>
      <c r="N3" s="2">
        <v>26.86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178</v>
      </c>
      <c r="AR3" s="4" t="s">
        <v>165</v>
      </c>
      <c r="AS3" s="4"/>
      <c r="AT3" s="4"/>
      <c r="AU3" s="4" t="s">
        <v>184</v>
      </c>
      <c r="AV3" s="4">
        <v>8.9290000000000003</v>
      </c>
      <c r="AW3" s="4" t="s">
        <v>165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165</v>
      </c>
      <c r="BK3" s="4"/>
      <c r="BL3" s="4" t="s">
        <v>165</v>
      </c>
      <c r="BM3" s="4"/>
      <c r="BN3" s="2"/>
      <c r="BO3" s="2"/>
      <c r="BP3" s="4"/>
      <c r="BQ3" s="4" t="s">
        <v>165</v>
      </c>
      <c r="BR3" s="2"/>
    </row>
    <row r="4" spans="1:70" x14ac:dyDescent="0.15">
      <c r="A4" s="45">
        <v>1928</v>
      </c>
      <c r="B4" s="3">
        <v>41554</v>
      </c>
      <c r="C4" s="1" t="s">
        <v>162</v>
      </c>
      <c r="D4" s="2" t="s">
        <v>179</v>
      </c>
      <c r="E4" s="2"/>
      <c r="F4" s="2" t="s">
        <v>163</v>
      </c>
      <c r="G4" s="3">
        <v>41458</v>
      </c>
      <c r="H4" s="4" t="s">
        <v>164</v>
      </c>
      <c r="I4" s="4" t="s">
        <v>165</v>
      </c>
      <c r="J4" s="4"/>
      <c r="K4" s="2" t="s">
        <v>166</v>
      </c>
      <c r="L4" s="2" t="s">
        <v>167</v>
      </c>
      <c r="M4" s="2">
        <v>107.08</v>
      </c>
      <c r="N4" s="2">
        <v>30.167000000000002</v>
      </c>
      <c r="O4" s="2" t="s">
        <v>168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169</v>
      </c>
      <c r="AR4" s="4" t="s">
        <v>165</v>
      </c>
      <c r="AS4" s="4"/>
      <c r="AT4" s="4"/>
      <c r="AU4" s="4" t="s">
        <v>170</v>
      </c>
      <c r="AV4" s="4">
        <v>8.9290000000000003</v>
      </c>
      <c r="AW4" s="4" t="s">
        <v>171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165</v>
      </c>
      <c r="BK4" s="4"/>
      <c r="BL4" s="4" t="s">
        <v>164</v>
      </c>
      <c r="BM4" s="4"/>
      <c r="BN4" s="2" t="s">
        <v>172</v>
      </c>
      <c r="BO4" s="46" t="s">
        <v>173</v>
      </c>
      <c r="BP4" s="4">
        <v>18.25</v>
      </c>
      <c r="BQ4" s="4" t="s">
        <v>165</v>
      </c>
      <c r="BR4" s="2"/>
    </row>
    <row r="5" spans="1:70" x14ac:dyDescent="0.15">
      <c r="A5" s="45">
        <v>710</v>
      </c>
      <c r="B5" s="3">
        <v>41554</v>
      </c>
      <c r="C5" s="1" t="s">
        <v>162</v>
      </c>
      <c r="D5" s="2" t="s">
        <v>180</v>
      </c>
      <c r="E5" s="2"/>
      <c r="F5" s="2" t="s">
        <v>163</v>
      </c>
      <c r="G5" s="3">
        <v>41455</v>
      </c>
      <c r="H5" s="4" t="s">
        <v>164</v>
      </c>
      <c r="I5" s="4" t="s">
        <v>165</v>
      </c>
      <c r="J5" s="4"/>
      <c r="K5" s="2" t="s">
        <v>182</v>
      </c>
      <c r="L5" s="2" t="s">
        <v>183</v>
      </c>
      <c r="M5" s="2">
        <v>160</v>
      </c>
      <c r="N5" s="2">
        <v>26.89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18.43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169</v>
      </c>
      <c r="AR5" s="4" t="s">
        <v>165</v>
      </c>
      <c r="AS5" s="4"/>
      <c r="AT5" s="4"/>
      <c r="AU5" s="4" t="s">
        <v>184</v>
      </c>
      <c r="AV5" s="4">
        <v>8.9290000000000003</v>
      </c>
      <c r="AW5" s="4" t="s">
        <v>165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165</v>
      </c>
      <c r="BK5" s="4"/>
      <c r="BL5" s="4" t="s">
        <v>165</v>
      </c>
      <c r="BM5" s="4"/>
      <c r="BN5" s="2"/>
      <c r="BO5" s="2"/>
      <c r="BP5" s="4"/>
      <c r="BQ5" s="4" t="s">
        <v>165</v>
      </c>
      <c r="BR5" s="2"/>
    </row>
    <row r="6" spans="1:70" x14ac:dyDescent="0.15">
      <c r="A6" s="45">
        <v>1931</v>
      </c>
      <c r="B6" s="3">
        <v>41554</v>
      </c>
      <c r="C6" s="1" t="s">
        <v>162</v>
      </c>
      <c r="D6" s="2" t="s">
        <v>179</v>
      </c>
      <c r="E6" s="2"/>
      <c r="F6" s="2" t="s">
        <v>174</v>
      </c>
      <c r="G6" s="3">
        <v>41458</v>
      </c>
      <c r="H6" s="4" t="s">
        <v>164</v>
      </c>
      <c r="I6" s="4" t="s">
        <v>165</v>
      </c>
      <c r="J6" s="4"/>
      <c r="K6" s="2" t="s">
        <v>166</v>
      </c>
      <c r="L6" s="2" t="s">
        <v>167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2"/>
      <c r="AN6" s="2"/>
      <c r="AO6" s="2"/>
      <c r="AP6" s="2"/>
      <c r="AQ6" s="2" t="s">
        <v>175</v>
      </c>
      <c r="AR6" s="4" t="s">
        <v>165</v>
      </c>
      <c r="AS6" s="4"/>
      <c r="AT6" s="4"/>
      <c r="AU6" s="4" t="s">
        <v>176</v>
      </c>
      <c r="AV6" s="4">
        <v>8.9290000000000003</v>
      </c>
      <c r="AW6" s="4" t="s">
        <v>171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165</v>
      </c>
      <c r="BK6" s="4"/>
      <c r="BL6" s="4" t="s">
        <v>165</v>
      </c>
      <c r="BM6" s="4"/>
      <c r="BN6" s="2"/>
      <c r="BO6" s="2"/>
      <c r="BP6" s="4"/>
      <c r="BQ6" s="4" t="s">
        <v>165</v>
      </c>
      <c r="BR6" s="2"/>
    </row>
    <row r="7" spans="1:70" x14ac:dyDescent="0.15">
      <c r="A7" s="45">
        <v>712</v>
      </c>
      <c r="B7" s="3">
        <v>41554</v>
      </c>
      <c r="C7" s="1" t="s">
        <v>162</v>
      </c>
      <c r="D7" s="2" t="s">
        <v>180</v>
      </c>
      <c r="E7" s="2"/>
      <c r="F7" s="2" t="s">
        <v>174</v>
      </c>
      <c r="G7" s="3">
        <v>41455</v>
      </c>
      <c r="H7" s="4" t="s">
        <v>164</v>
      </c>
      <c r="I7" s="4" t="s">
        <v>165</v>
      </c>
      <c r="J7" s="4"/>
      <c r="K7" s="2" t="s">
        <v>182</v>
      </c>
      <c r="L7" s="2" t="s">
        <v>183</v>
      </c>
      <c r="M7" s="2">
        <v>115</v>
      </c>
      <c r="N7" s="2">
        <v>30.06</v>
      </c>
      <c r="O7" s="2"/>
      <c r="P7" s="2"/>
      <c r="Q7" s="2"/>
      <c r="R7" s="2"/>
      <c r="S7" s="2"/>
      <c r="T7" s="2"/>
      <c r="U7" s="2"/>
      <c r="V7" s="2"/>
      <c r="W7" s="2">
        <v>15.44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21.23</v>
      </c>
      <c r="AJ7" s="2"/>
      <c r="AK7" s="2"/>
      <c r="AL7" s="2"/>
      <c r="AM7" s="2"/>
      <c r="AN7" s="2"/>
      <c r="AO7" s="2"/>
      <c r="AP7" s="2"/>
      <c r="AQ7" s="2" t="s">
        <v>175</v>
      </c>
      <c r="AR7" s="4" t="s">
        <v>185</v>
      </c>
      <c r="AS7" s="4"/>
      <c r="AT7" s="4"/>
      <c r="AU7" s="4" t="s">
        <v>184</v>
      </c>
      <c r="AV7" s="4">
        <v>8.9290000000000003</v>
      </c>
      <c r="AW7" s="4" t="s">
        <v>165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165</v>
      </c>
      <c r="BK7" s="4"/>
      <c r="BL7" s="4" t="s">
        <v>165</v>
      </c>
      <c r="BM7" s="4"/>
      <c r="BN7" s="2"/>
      <c r="BO7" s="2"/>
      <c r="BP7" s="4"/>
      <c r="BQ7" s="4" t="s">
        <v>165</v>
      </c>
      <c r="BR7" s="2"/>
    </row>
  </sheetData>
  <sheetProtection algorithmName="SHA-512" hashValue="OW1x6LGz1Yt+1KEOXU/CvQVAu5u3/SkGKD3i7yz+Z3/vH+EdpBgriVA0EKR5gBtDDU/xgpOgPpYcha4SMAl1HQ==" saltValue="NR32A7XaYFypB2M54LJQgA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7"/>
  <sheetViews>
    <sheetView topLeftCell="B1"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2">
        <v>1638</v>
      </c>
      <c r="B2" s="31">
        <v>41466</v>
      </c>
      <c r="C2" s="1" t="s">
        <v>150</v>
      </c>
      <c r="D2" s="2" t="s">
        <v>151</v>
      </c>
      <c r="E2" s="2"/>
      <c r="F2" s="2" t="s">
        <v>152</v>
      </c>
      <c r="G2" s="3">
        <v>41090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90.801000000000002</v>
      </c>
      <c r="N2" s="2">
        <v>32.32</v>
      </c>
      <c r="O2" s="2" t="s">
        <v>130</v>
      </c>
      <c r="P2" s="2">
        <v>500</v>
      </c>
      <c r="Q2" s="2">
        <v>23.725000000000001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6.6710000000000003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70" x14ac:dyDescent="0.15">
      <c r="A3" s="2">
        <v>711</v>
      </c>
      <c r="B3" s="31">
        <v>41466</v>
      </c>
      <c r="C3" s="1" t="s">
        <v>108</v>
      </c>
      <c r="D3" s="2" t="s">
        <v>109</v>
      </c>
      <c r="E3" s="2"/>
      <c r="F3" s="2" t="s">
        <v>28</v>
      </c>
      <c r="G3" s="3">
        <v>41152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89</v>
      </c>
      <c r="N3" s="2">
        <v>23.12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6.7709999999999999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</row>
    <row r="4" spans="1:70" x14ac:dyDescent="0.15">
      <c r="A4" s="2">
        <v>1636</v>
      </c>
      <c r="B4" s="31">
        <v>41466</v>
      </c>
      <c r="C4" s="1" t="s">
        <v>108</v>
      </c>
      <c r="D4" s="2" t="s">
        <v>109</v>
      </c>
      <c r="E4" s="2"/>
      <c r="F4" s="2" t="s">
        <v>31</v>
      </c>
      <c r="G4" s="3">
        <v>41090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107.08</v>
      </c>
      <c r="N4" s="2">
        <v>32.32</v>
      </c>
      <c r="O4" s="2" t="s">
        <v>130</v>
      </c>
      <c r="P4" s="2">
        <v>500</v>
      </c>
      <c r="Q4" s="2">
        <v>23.725000000000001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6.6710000000000003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70" x14ac:dyDescent="0.15">
      <c r="A5" s="2">
        <v>710</v>
      </c>
      <c r="B5" s="31">
        <v>41466</v>
      </c>
      <c r="C5" s="1" t="s">
        <v>108</v>
      </c>
      <c r="D5" s="2" t="s">
        <v>109</v>
      </c>
      <c r="E5" s="2"/>
      <c r="F5" s="2" t="s">
        <v>31</v>
      </c>
      <c r="G5" s="3">
        <v>41152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153</v>
      </c>
      <c r="N5" s="2">
        <v>23.12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13.79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6.7709999999999999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</row>
    <row r="6" spans="1:70" x14ac:dyDescent="0.15">
      <c r="A6" s="2">
        <v>1639</v>
      </c>
      <c r="B6" s="31">
        <v>41466</v>
      </c>
      <c r="C6" s="1" t="s">
        <v>108</v>
      </c>
      <c r="D6" s="2" t="s">
        <v>109</v>
      </c>
      <c r="E6" s="2"/>
      <c r="F6" s="2" t="s">
        <v>33</v>
      </c>
      <c r="G6" s="3">
        <v>41090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98.355000000000004</v>
      </c>
      <c r="N6" s="2">
        <v>25.841999999999999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6.6710000000000003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70" x14ac:dyDescent="0.15">
      <c r="A7" s="2">
        <v>712</v>
      </c>
      <c r="B7" s="31">
        <v>41466</v>
      </c>
      <c r="C7" s="1" t="s">
        <v>108</v>
      </c>
      <c r="D7" s="2" t="s">
        <v>109</v>
      </c>
      <c r="E7" s="2"/>
      <c r="F7" s="2" t="s">
        <v>33</v>
      </c>
      <c r="G7" s="3">
        <v>41152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92</v>
      </c>
      <c r="N7" s="2">
        <v>24.58</v>
      </c>
      <c r="O7" s="2"/>
      <c r="P7" s="2"/>
      <c r="Q7" s="2"/>
      <c r="R7" s="2"/>
      <c r="S7" s="2"/>
      <c r="T7" s="2"/>
      <c r="U7" s="2"/>
      <c r="V7" s="2"/>
      <c r="W7" s="2">
        <v>8.5399999999999991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16.149999999999999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6.7709999999999999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</row>
  </sheetData>
  <sheetProtection algorithmName="SHA-512" hashValue="xCQrIOyqwafzzM5hqpTin5PxqKmxT8jP8zvHOdBUfdqmCrytmucYs8r/yDgX23WbS95wEsEMLt7X6e1Alil6OA==" saltValue="DMeKJknPni5i0+zRz4/tdA==" spinCount="100000" sheet="1" objects="1" scenarios="1"/>
  <phoneticPr fontId="2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7"/>
  <sheetViews>
    <sheetView zoomScale="125" zoomScaleNormal="125" zoomScalePageLayoutView="125" workbookViewId="0">
      <selection activeCell="G2" sqref="G2:G7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2">
        <v>1638</v>
      </c>
      <c r="B2" s="31">
        <v>41013</v>
      </c>
      <c r="C2" s="1" t="s">
        <v>150</v>
      </c>
      <c r="D2" s="2" t="s">
        <v>151</v>
      </c>
      <c r="E2" s="2"/>
      <c r="F2" s="2" t="s">
        <v>152</v>
      </c>
      <c r="G2" s="3">
        <v>40724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87.79</v>
      </c>
      <c r="N2" s="2">
        <v>31.25</v>
      </c>
      <c r="O2" s="2" t="s">
        <v>105</v>
      </c>
      <c r="P2" s="2">
        <v>500</v>
      </c>
      <c r="Q2" s="2">
        <v>22.94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5.5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70" x14ac:dyDescent="0.15">
      <c r="A3" s="2">
        <v>711</v>
      </c>
      <c r="B3" s="31">
        <v>41012</v>
      </c>
      <c r="C3" s="1" t="s">
        <v>108</v>
      </c>
      <c r="D3" s="2" t="s">
        <v>109</v>
      </c>
      <c r="E3" s="2"/>
      <c r="F3" s="2" t="s">
        <v>28</v>
      </c>
      <c r="G3" s="3">
        <v>40999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88</v>
      </c>
      <c r="N3" s="2">
        <v>23.64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5.5510000000000002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</row>
    <row r="4" spans="1:70" x14ac:dyDescent="0.15">
      <c r="A4" s="2">
        <v>1636</v>
      </c>
      <c r="B4" s="31">
        <v>41013</v>
      </c>
      <c r="C4" s="1" t="s">
        <v>108</v>
      </c>
      <c r="D4" s="2" t="s">
        <v>109</v>
      </c>
      <c r="E4" s="2"/>
      <c r="F4" s="2" t="s">
        <v>31</v>
      </c>
      <c r="G4" s="3">
        <v>40724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107.73</v>
      </c>
      <c r="N4" s="2">
        <v>31.25</v>
      </c>
      <c r="O4" s="2" t="s">
        <v>105</v>
      </c>
      <c r="P4" s="2">
        <v>500</v>
      </c>
      <c r="Q4" s="2">
        <v>22.94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10.47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5.5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70" x14ac:dyDescent="0.15">
      <c r="A5" s="2">
        <v>710</v>
      </c>
      <c r="B5" s="31">
        <v>41012</v>
      </c>
      <c r="C5" s="1" t="s">
        <v>108</v>
      </c>
      <c r="D5" s="2" t="s">
        <v>109</v>
      </c>
      <c r="E5" s="2"/>
      <c r="F5" s="2" t="s">
        <v>31</v>
      </c>
      <c r="G5" s="3">
        <v>40999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118</v>
      </c>
      <c r="N5" s="2">
        <v>23.64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10.75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5.5510000000000002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</row>
    <row r="6" spans="1:70" x14ac:dyDescent="0.15">
      <c r="A6" s="2">
        <v>1639</v>
      </c>
      <c r="B6" s="31">
        <v>41013</v>
      </c>
      <c r="C6" s="1" t="s">
        <v>108</v>
      </c>
      <c r="D6" s="2" t="s">
        <v>109</v>
      </c>
      <c r="E6" s="2"/>
      <c r="F6" s="2" t="s">
        <v>33</v>
      </c>
      <c r="G6" s="3">
        <v>40724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86.36</v>
      </c>
      <c r="N6" s="2">
        <v>24.55</v>
      </c>
      <c r="O6" s="2"/>
      <c r="P6" s="2"/>
      <c r="Q6" s="2"/>
      <c r="R6" s="2"/>
      <c r="S6" s="2"/>
      <c r="T6" s="2"/>
      <c r="U6" s="2"/>
      <c r="V6" s="2"/>
      <c r="W6" s="2">
        <v>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5.5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70" x14ac:dyDescent="0.15">
      <c r="A7" s="2">
        <v>712</v>
      </c>
      <c r="B7" s="31">
        <v>41012</v>
      </c>
      <c r="C7" s="1" t="s">
        <v>108</v>
      </c>
      <c r="D7" s="2" t="s">
        <v>109</v>
      </c>
      <c r="E7" s="2"/>
      <c r="F7" s="2" t="s">
        <v>33</v>
      </c>
      <c r="G7" s="3">
        <v>40999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89</v>
      </c>
      <c r="N7" s="2">
        <v>25.5</v>
      </c>
      <c r="O7" s="2"/>
      <c r="P7" s="2"/>
      <c r="Q7" s="2"/>
      <c r="R7" s="2"/>
      <c r="S7" s="2"/>
      <c r="T7" s="2"/>
      <c r="U7" s="2"/>
      <c r="V7" s="2"/>
      <c r="W7" s="2">
        <v>7.32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15.85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5.5510000000000002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</row>
  </sheetData>
  <sheetProtection algorithmName="SHA-512" hashValue="Zbsvxzgg3gxQoimgFaUZekx7AhA/lMld6rvjw1NW0P7qzMLUw+75Lngyt76LkGod9YrWljojC9vDmTcwN63nqw==" saltValue="l9tKTuXbRt2lC6m7H+8/sA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TAS Bills April 2023</vt:lpstr>
      <vt:lpstr>TAS Bills October 2022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Apr 2023</vt:lpstr>
      <vt:lpstr>TAS Oct 2022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Bills April 2016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2016-05-03T06:20:53Z</dcterms:created>
  <dcterms:modified xsi:type="dcterms:W3CDTF">2023-06-05T03:42:52Z</dcterms:modified>
</cp:coreProperties>
</file>